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05" yWindow="-105" windowWidth="19425" windowHeight="10425" tabRatio="601"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Details'!$A$1:$H$128</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24519" concurrentCalc="0"/>
</workbook>
</file>

<file path=xl/calcChain.xml><?xml version="1.0" encoding="utf-8"?>
<calcChain xmlns="http://schemas.openxmlformats.org/spreadsheetml/2006/main">
  <c r="F60" i="57"/>
  <c r="G58"/>
  <c r="G60"/>
  <c r="G56"/>
  <c r="G55"/>
  <c r="G54"/>
  <c r="G53"/>
  <c r="B5" i="72"/>
  <c r="B7" i="81"/>
  <c r="B9"/>
  <c r="D14"/>
  <c r="F14"/>
  <c r="H14"/>
  <c r="B42"/>
  <c r="B11" i="55"/>
  <c r="B68"/>
  <c r="B120"/>
  <c r="D178"/>
  <c r="D15" i="81"/>
  <c r="F15"/>
  <c r="H15"/>
  <c r="B43"/>
  <c r="B12" i="55"/>
  <c r="B69"/>
  <c r="B121"/>
  <c r="D179"/>
  <c r="D16" i="81"/>
  <c r="F16"/>
  <c r="H16"/>
  <c r="B44"/>
  <c r="B13" i="55"/>
  <c r="B70"/>
  <c r="B122"/>
  <c r="D180"/>
  <c r="D17" i="81"/>
  <c r="F17"/>
  <c r="H17"/>
  <c r="B45"/>
  <c r="B14" i="55"/>
  <c r="B71"/>
  <c r="B123"/>
  <c r="D181"/>
  <c r="D18" i="81"/>
  <c r="F18"/>
  <c r="H18"/>
  <c r="B46"/>
  <c r="B15" i="55"/>
  <c r="B72"/>
  <c r="B124"/>
  <c r="D182"/>
  <c r="D19" i="81"/>
  <c r="F19"/>
  <c r="H19"/>
  <c r="B47"/>
  <c r="B16" i="55"/>
  <c r="B73"/>
  <c r="B125"/>
  <c r="D183"/>
  <c r="D20" i="81"/>
  <c r="F20"/>
  <c r="H20"/>
  <c r="B48"/>
  <c r="B17" i="55"/>
  <c r="B74"/>
  <c r="B126"/>
  <c r="D184"/>
  <c r="D21" i="81"/>
  <c r="F21"/>
  <c r="H21"/>
  <c r="B49"/>
  <c r="B18" i="55"/>
  <c r="B75"/>
  <c r="B127"/>
  <c r="D185"/>
  <c r="D22" i="81"/>
  <c r="F22"/>
  <c r="H22"/>
  <c r="B50"/>
  <c r="B19" i="55"/>
  <c r="B76"/>
  <c r="B128"/>
  <c r="D186"/>
  <c r="C23" i="81"/>
  <c r="D24"/>
  <c r="F24"/>
  <c r="H24"/>
  <c r="B51"/>
  <c r="B20" i="55"/>
  <c r="B77"/>
  <c r="B129"/>
  <c r="D187"/>
  <c r="D25" i="81"/>
  <c r="F25"/>
  <c r="H25"/>
  <c r="B52"/>
  <c r="B21" i="55"/>
  <c r="B78"/>
  <c r="B130"/>
  <c r="D188"/>
  <c r="D26" i="81"/>
  <c r="F26"/>
  <c r="H26"/>
  <c r="B53"/>
  <c r="B22" i="55"/>
  <c r="B79"/>
  <c r="B131"/>
  <c r="D189"/>
  <c r="D27" i="81"/>
  <c r="F27"/>
  <c r="H27"/>
  <c r="B54"/>
  <c r="B23" i="55"/>
  <c r="B80"/>
  <c r="B132"/>
  <c r="D190"/>
  <c r="D28" i="81"/>
  <c r="F28"/>
  <c r="H28"/>
  <c r="B55"/>
  <c r="B24" i="55"/>
  <c r="B81"/>
  <c r="B133"/>
  <c r="D191"/>
  <c r="D29" i="81"/>
  <c r="F29"/>
  <c r="H29"/>
  <c r="B56"/>
  <c r="B25" i="55"/>
  <c r="B82"/>
  <c r="B134"/>
  <c r="D192"/>
  <c r="D30" i="81"/>
  <c r="F30"/>
  <c r="H30"/>
  <c r="B57"/>
  <c r="B26" i="55"/>
  <c r="B83"/>
  <c r="B135"/>
  <c r="D193"/>
  <c r="D31" i="81"/>
  <c r="F31"/>
  <c r="H31"/>
  <c r="B58"/>
  <c r="B27" i="55"/>
  <c r="B84"/>
  <c r="B136"/>
  <c r="D194"/>
  <c r="C32" i="81"/>
  <c r="D33"/>
  <c r="F33"/>
  <c r="H33"/>
  <c r="B59"/>
  <c r="B28" i="55"/>
  <c r="B85"/>
  <c r="B137"/>
  <c r="D195"/>
  <c r="D34" i="81"/>
  <c r="F34"/>
  <c r="H34"/>
  <c r="B60"/>
  <c r="B29" i="55"/>
  <c r="B86"/>
  <c r="B138"/>
  <c r="D196"/>
  <c r="D35" i="81"/>
  <c r="F35"/>
  <c r="H35"/>
  <c r="B61"/>
  <c r="B30" i="55"/>
  <c r="B87"/>
  <c r="B139"/>
  <c r="D197"/>
  <c r="D36" i="81"/>
  <c r="F36"/>
  <c r="H36"/>
  <c r="B62"/>
  <c r="B31" i="55"/>
  <c r="B88"/>
  <c r="B140"/>
  <c r="D198"/>
  <c r="B33"/>
  <c r="B65"/>
  <c r="D200"/>
  <c r="D229"/>
  <c r="B6" i="21"/>
  <c r="G6" i="57"/>
  <c r="G7"/>
  <c r="G8"/>
  <c r="G9"/>
  <c r="G10"/>
  <c r="G11"/>
  <c r="G12"/>
  <c r="D6" i="62"/>
  <c r="F113" i="57"/>
  <c r="F114"/>
  <c r="F115"/>
  <c r="F116"/>
  <c r="D10" i="62"/>
  <c r="G50" i="57"/>
  <c r="G51"/>
  <c r="G52"/>
  <c r="G57"/>
  <c r="G61"/>
  <c r="G34"/>
  <c r="G35"/>
  <c r="G36"/>
  <c r="G37"/>
  <c r="G38"/>
  <c r="G39"/>
  <c r="G40"/>
  <c r="G41"/>
  <c r="G42"/>
  <c r="G43"/>
  <c r="G44"/>
  <c r="G45"/>
  <c r="G46"/>
  <c r="G47"/>
  <c r="G21"/>
  <c r="G22"/>
  <c r="G23"/>
  <c r="G24"/>
  <c r="G25"/>
  <c r="G26"/>
  <c r="G27"/>
  <c r="G28"/>
  <c r="G29"/>
  <c r="G30"/>
  <c r="G31"/>
  <c r="G32"/>
  <c r="G63"/>
  <c r="G64"/>
  <c r="G65"/>
  <c r="G66"/>
  <c r="G67"/>
  <c r="G69"/>
  <c r="D7" i="62"/>
  <c r="F86" i="57"/>
  <c r="F87"/>
  <c r="F88"/>
  <c r="F89"/>
  <c r="F90"/>
  <c r="F91"/>
  <c r="F92"/>
  <c r="D8" i="62"/>
  <c r="F99" i="57"/>
  <c r="F100"/>
  <c r="F101"/>
  <c r="F102"/>
  <c r="F103"/>
  <c r="F104"/>
  <c r="F105"/>
  <c r="D9" i="62"/>
  <c r="E21"/>
  <c r="D4" i="23"/>
  <c r="D8"/>
  <c r="F34"/>
  <c r="C10"/>
  <c r="D10"/>
  <c r="F10"/>
  <c r="E10"/>
  <c r="G10"/>
  <c r="C11"/>
  <c r="D11"/>
  <c r="F11"/>
  <c r="E11"/>
  <c r="G11"/>
  <c r="C12"/>
  <c r="D12"/>
  <c r="F12"/>
  <c r="E12"/>
  <c r="G12"/>
  <c r="C13"/>
  <c r="D13"/>
  <c r="F13"/>
  <c r="E13"/>
  <c r="G13"/>
  <c r="C14"/>
  <c r="D14"/>
  <c r="F14"/>
  <c r="E14"/>
  <c r="G14"/>
  <c r="C15"/>
  <c r="D15"/>
  <c r="F15"/>
  <c r="E15"/>
  <c r="G15"/>
  <c r="C16"/>
  <c r="F16"/>
  <c r="D16"/>
  <c r="E16"/>
  <c r="G16"/>
  <c r="C17"/>
  <c r="F17"/>
  <c r="D17"/>
  <c r="E17"/>
  <c r="G17"/>
  <c r="C18"/>
  <c r="F18"/>
  <c r="D18"/>
  <c r="E18"/>
  <c r="G18"/>
  <c r="C19"/>
  <c r="F19"/>
  <c r="D19"/>
  <c r="E19"/>
  <c r="G19"/>
  <c r="C20"/>
  <c r="F20"/>
  <c r="D20"/>
  <c r="E20"/>
  <c r="G20"/>
  <c r="C21"/>
  <c r="F21"/>
  <c r="D21"/>
  <c r="E21"/>
  <c r="G21"/>
  <c r="C22"/>
  <c r="F22"/>
  <c r="D22"/>
  <c r="E22"/>
  <c r="G22"/>
  <c r="C23"/>
  <c r="F23"/>
  <c r="D23"/>
  <c r="E23"/>
  <c r="G23"/>
  <c r="C24"/>
  <c r="F24"/>
  <c r="D24"/>
  <c r="E24"/>
  <c r="G24"/>
  <c r="C25"/>
  <c r="F25"/>
  <c r="D25"/>
  <c r="E25"/>
  <c r="G25"/>
  <c r="C26"/>
  <c r="F26"/>
  <c r="D26"/>
  <c r="E26"/>
  <c r="G26"/>
  <c r="C27"/>
  <c r="F27"/>
  <c r="D27"/>
  <c r="E27"/>
  <c r="G27"/>
  <c r="C28"/>
  <c r="F28"/>
  <c r="D28"/>
  <c r="E28"/>
  <c r="G28"/>
  <c r="C29"/>
  <c r="F29"/>
  <c r="D29"/>
  <c r="E29"/>
  <c r="G29"/>
  <c r="C30"/>
  <c r="F30"/>
  <c r="D30"/>
  <c r="E30"/>
  <c r="G30"/>
  <c r="C31"/>
  <c r="F31"/>
  <c r="D31"/>
  <c r="E31"/>
  <c r="G31"/>
  <c r="C32"/>
  <c r="F32"/>
  <c r="D32"/>
  <c r="E32"/>
  <c r="G32"/>
  <c r="C33"/>
  <c r="F33"/>
  <c r="D33"/>
  <c r="E33"/>
  <c r="G33"/>
  <c r="C34"/>
  <c r="D34"/>
  <c r="E34"/>
  <c r="C33" i="72"/>
  <c r="B63" i="55"/>
  <c r="C63"/>
  <c r="K12" i="83"/>
  <c r="L12"/>
  <c r="M12"/>
  <c r="N12"/>
  <c r="P12"/>
  <c r="Q12"/>
  <c r="R12"/>
  <c r="S12"/>
  <c r="T12"/>
  <c r="V12"/>
  <c r="W12"/>
  <c r="X12"/>
  <c r="B7"/>
  <c r="B9"/>
  <c r="D14"/>
  <c r="J14"/>
  <c r="K14"/>
  <c r="L14"/>
  <c r="M14"/>
  <c r="N14"/>
  <c r="D37"/>
  <c r="F37"/>
  <c r="H37"/>
  <c r="B95"/>
  <c r="C72"/>
  <c r="C95"/>
  <c r="D72"/>
  <c r="D95"/>
  <c r="E72"/>
  <c r="E95"/>
  <c r="F72"/>
  <c r="F95"/>
  <c r="G72"/>
  <c r="G95"/>
  <c r="H72"/>
  <c r="H95"/>
  <c r="H34" i="84"/>
  <c r="B41"/>
  <c r="H62"/>
  <c r="H124"/>
  <c r="H141"/>
  <c r="G34"/>
  <c r="G62"/>
  <c r="G124"/>
  <c r="G141"/>
  <c r="E149"/>
  <c r="F149"/>
  <c r="G149"/>
  <c r="H149"/>
  <c r="I149"/>
  <c r="J149"/>
  <c r="J154"/>
  <c r="H125"/>
  <c r="H142"/>
  <c r="G125"/>
  <c r="G142"/>
  <c r="J155"/>
  <c r="H126"/>
  <c r="H143"/>
  <c r="G126"/>
  <c r="G143"/>
  <c r="J156"/>
  <c r="J159"/>
  <c r="J163"/>
  <c r="J164"/>
  <c r="H74" i="83"/>
  <c r="H13" i="84"/>
  <c r="D15" i="83"/>
  <c r="F15"/>
  <c r="H15"/>
  <c r="B75"/>
  <c r="C75"/>
  <c r="D75"/>
  <c r="E75"/>
  <c r="F75"/>
  <c r="G75"/>
  <c r="H75"/>
  <c r="H14" i="84"/>
  <c r="D16" i="83"/>
  <c r="F16"/>
  <c r="H16"/>
  <c r="B76"/>
  <c r="C76"/>
  <c r="D76"/>
  <c r="E76"/>
  <c r="F76"/>
  <c r="G76"/>
  <c r="H76"/>
  <c r="H15" i="84"/>
  <c r="D17" i="83"/>
  <c r="F17"/>
  <c r="H17"/>
  <c r="B77"/>
  <c r="C77"/>
  <c r="D77"/>
  <c r="E77"/>
  <c r="F77"/>
  <c r="G77"/>
  <c r="H77"/>
  <c r="H16" i="84"/>
  <c r="D18" i="83"/>
  <c r="F18"/>
  <c r="H18"/>
  <c r="B78"/>
  <c r="C78"/>
  <c r="D78"/>
  <c r="E78"/>
  <c r="F78"/>
  <c r="G78"/>
  <c r="H78"/>
  <c r="H17" i="84"/>
  <c r="D19" i="83"/>
  <c r="F19"/>
  <c r="H19"/>
  <c r="B79"/>
  <c r="C79"/>
  <c r="D79"/>
  <c r="E79"/>
  <c r="F79"/>
  <c r="G79"/>
  <c r="H79"/>
  <c r="H18" i="84"/>
  <c r="D20" i="83"/>
  <c r="F20"/>
  <c r="H20"/>
  <c r="B80"/>
  <c r="C80"/>
  <c r="D80"/>
  <c r="E80"/>
  <c r="F80"/>
  <c r="G80"/>
  <c r="H80"/>
  <c r="H19" i="84"/>
  <c r="D21" i="83"/>
  <c r="F21"/>
  <c r="H21"/>
  <c r="B81"/>
  <c r="C81"/>
  <c r="D81"/>
  <c r="E81"/>
  <c r="F81"/>
  <c r="G81"/>
  <c r="H81"/>
  <c r="H20" i="84"/>
  <c r="D22" i="83"/>
  <c r="F22"/>
  <c r="H22"/>
  <c r="B82"/>
  <c r="C82"/>
  <c r="D82"/>
  <c r="E82"/>
  <c r="F82"/>
  <c r="G82"/>
  <c r="H82"/>
  <c r="H21" i="84"/>
  <c r="C23" i="83"/>
  <c r="D24"/>
  <c r="F24"/>
  <c r="H24"/>
  <c r="B83"/>
  <c r="C83"/>
  <c r="D83"/>
  <c r="E83"/>
  <c r="F83"/>
  <c r="G83"/>
  <c r="H83"/>
  <c r="H22" i="84"/>
  <c r="D25" i="83"/>
  <c r="F25"/>
  <c r="H25"/>
  <c r="B84"/>
  <c r="C84"/>
  <c r="D84"/>
  <c r="E84"/>
  <c r="F84"/>
  <c r="G84"/>
  <c r="H84"/>
  <c r="H23" i="84"/>
  <c r="D26" i="83"/>
  <c r="F26"/>
  <c r="H26"/>
  <c r="B85"/>
  <c r="C85"/>
  <c r="D85"/>
  <c r="E85"/>
  <c r="F85"/>
  <c r="G85"/>
  <c r="H85"/>
  <c r="H24" i="84"/>
  <c r="D27" i="83"/>
  <c r="F27"/>
  <c r="H27"/>
  <c r="B86"/>
  <c r="C86"/>
  <c r="D86"/>
  <c r="E86"/>
  <c r="F86"/>
  <c r="G86"/>
  <c r="H86"/>
  <c r="H25" i="84"/>
  <c r="D28" i="83"/>
  <c r="F28"/>
  <c r="H28"/>
  <c r="B87"/>
  <c r="C87"/>
  <c r="D87"/>
  <c r="E87"/>
  <c r="F87"/>
  <c r="G87"/>
  <c r="H87"/>
  <c r="H26" i="84"/>
  <c r="D29" i="83"/>
  <c r="F29"/>
  <c r="H29"/>
  <c r="B88"/>
  <c r="C88"/>
  <c r="D88"/>
  <c r="E88"/>
  <c r="F88"/>
  <c r="G88"/>
  <c r="H88"/>
  <c r="H27" i="84"/>
  <c r="D30" i="83"/>
  <c r="F30"/>
  <c r="H30"/>
  <c r="B89"/>
  <c r="C89"/>
  <c r="D89"/>
  <c r="E89"/>
  <c r="F89"/>
  <c r="G89"/>
  <c r="H89"/>
  <c r="H28" i="84"/>
  <c r="D31" i="83"/>
  <c r="F31"/>
  <c r="H31"/>
  <c r="B90"/>
  <c r="C90"/>
  <c r="D90"/>
  <c r="E90"/>
  <c r="F90"/>
  <c r="G90"/>
  <c r="H90"/>
  <c r="H29" i="84"/>
  <c r="C32" i="83"/>
  <c r="D33"/>
  <c r="F33"/>
  <c r="H33"/>
  <c r="B91"/>
  <c r="C91"/>
  <c r="D91"/>
  <c r="E91"/>
  <c r="F91"/>
  <c r="G91"/>
  <c r="H91"/>
  <c r="H30" i="84"/>
  <c r="H31"/>
  <c r="H32"/>
  <c r="H33"/>
  <c r="D38" i="83"/>
  <c r="F38"/>
  <c r="H38"/>
  <c r="B96"/>
  <c r="C96"/>
  <c r="D96"/>
  <c r="E96"/>
  <c r="F96"/>
  <c r="G96"/>
  <c r="H96"/>
  <c r="H35" i="84"/>
  <c r="D39" i="83"/>
  <c r="F39"/>
  <c r="H39"/>
  <c r="B97"/>
  <c r="C97"/>
  <c r="D97"/>
  <c r="E97"/>
  <c r="F97"/>
  <c r="G97"/>
  <c r="H97"/>
  <c r="H36" i="84"/>
  <c r="D40" i="83"/>
  <c r="F40"/>
  <c r="H40"/>
  <c r="B98"/>
  <c r="C98"/>
  <c r="D98"/>
  <c r="E98"/>
  <c r="F98"/>
  <c r="G98"/>
  <c r="H98"/>
  <c r="H37" i="84"/>
  <c r="H39"/>
  <c r="H12"/>
  <c r="J165"/>
  <c r="H67" i="57"/>
  <c r="B166" i="84"/>
  <c r="J166"/>
  <c r="J167"/>
  <c r="J168"/>
  <c r="J169"/>
  <c r="J177"/>
  <c r="J180"/>
  <c r="J181"/>
  <c r="J185"/>
  <c r="J186"/>
  <c r="J188"/>
  <c r="F34"/>
  <c r="F62"/>
  <c r="F124"/>
  <c r="F141"/>
  <c r="I154"/>
  <c r="F125"/>
  <c r="F142"/>
  <c r="I155"/>
  <c r="F126"/>
  <c r="F143"/>
  <c r="I156"/>
  <c r="I159"/>
  <c r="I163"/>
  <c r="I164"/>
  <c r="G74" i="83"/>
  <c r="G13" i="84"/>
  <c r="G14"/>
  <c r="G15"/>
  <c r="G16"/>
  <c r="G17"/>
  <c r="G18"/>
  <c r="G19"/>
  <c r="G20"/>
  <c r="G21"/>
  <c r="G22"/>
  <c r="G23"/>
  <c r="G24"/>
  <c r="G25"/>
  <c r="G26"/>
  <c r="G27"/>
  <c r="G28"/>
  <c r="G29"/>
  <c r="G30"/>
  <c r="D34" i="83"/>
  <c r="F34"/>
  <c r="H34"/>
  <c r="B92"/>
  <c r="C92"/>
  <c r="D92"/>
  <c r="E92"/>
  <c r="F92"/>
  <c r="G92"/>
  <c r="G31" i="84"/>
  <c r="D35" i="83"/>
  <c r="F35"/>
  <c r="H35"/>
  <c r="B93"/>
  <c r="C93"/>
  <c r="D93"/>
  <c r="E93"/>
  <c r="F93"/>
  <c r="G93"/>
  <c r="G32" i="84"/>
  <c r="D36" i="83"/>
  <c r="F36"/>
  <c r="H36"/>
  <c r="B94"/>
  <c r="C94"/>
  <c r="D94"/>
  <c r="E94"/>
  <c r="F94"/>
  <c r="G94"/>
  <c r="G33" i="84"/>
  <c r="G35"/>
  <c r="G36"/>
  <c r="G37"/>
  <c r="G39"/>
  <c r="G12"/>
  <c r="I165"/>
  <c r="I166"/>
  <c r="I167"/>
  <c r="I168"/>
  <c r="I169"/>
  <c r="I177"/>
  <c r="I180"/>
  <c r="I181"/>
  <c r="I185"/>
  <c r="I186"/>
  <c r="I188"/>
  <c r="E34"/>
  <c r="E62"/>
  <c r="E124"/>
  <c r="E141"/>
  <c r="H154"/>
  <c r="E125"/>
  <c r="E142"/>
  <c r="H155"/>
  <c r="E126"/>
  <c r="E143"/>
  <c r="H156"/>
  <c r="H159"/>
  <c r="H163"/>
  <c r="H164"/>
  <c r="F74" i="83"/>
  <c r="F13" i="84"/>
  <c r="F14"/>
  <c r="F15"/>
  <c r="F16"/>
  <c r="F17"/>
  <c r="F18"/>
  <c r="F19"/>
  <c r="F20"/>
  <c r="F21"/>
  <c r="F22"/>
  <c r="F23"/>
  <c r="F24"/>
  <c r="F25"/>
  <c r="F26"/>
  <c r="F27"/>
  <c r="F28"/>
  <c r="F29"/>
  <c r="F30"/>
  <c r="F31"/>
  <c r="F32"/>
  <c r="F33"/>
  <c r="F35"/>
  <c r="F36"/>
  <c r="F37"/>
  <c r="F39"/>
  <c r="F12"/>
  <c r="H165"/>
  <c r="H166"/>
  <c r="H167"/>
  <c r="H168"/>
  <c r="H169"/>
  <c r="H177"/>
  <c r="H180"/>
  <c r="H181"/>
  <c r="H185"/>
  <c r="H186"/>
  <c r="H188"/>
  <c r="D34"/>
  <c r="D62"/>
  <c r="D124"/>
  <c r="D141"/>
  <c r="G154"/>
  <c r="D125"/>
  <c r="D142"/>
  <c r="G155"/>
  <c r="D126"/>
  <c r="D143"/>
  <c r="G156"/>
  <c r="G159"/>
  <c r="G163"/>
  <c r="G164"/>
  <c r="E74" i="83"/>
  <c r="E13" i="84"/>
  <c r="E14"/>
  <c r="E15"/>
  <c r="E16"/>
  <c r="E17"/>
  <c r="E18"/>
  <c r="E19"/>
  <c r="E20"/>
  <c r="E21"/>
  <c r="E22"/>
  <c r="E23"/>
  <c r="E24"/>
  <c r="E25"/>
  <c r="E26"/>
  <c r="E27"/>
  <c r="E28"/>
  <c r="E29"/>
  <c r="E30"/>
  <c r="E31"/>
  <c r="E32"/>
  <c r="E33"/>
  <c r="E35"/>
  <c r="E36"/>
  <c r="E37"/>
  <c r="E39"/>
  <c r="E12"/>
  <c r="G165"/>
  <c r="G166"/>
  <c r="G167"/>
  <c r="G168"/>
  <c r="G169"/>
  <c r="G177"/>
  <c r="G180"/>
  <c r="G181"/>
  <c r="G185"/>
  <c r="G186"/>
  <c r="G188"/>
  <c r="C34"/>
  <c r="C62"/>
  <c r="C124"/>
  <c r="C141"/>
  <c r="F154"/>
  <c r="C125"/>
  <c r="C142"/>
  <c r="F155"/>
  <c r="C126"/>
  <c r="C143"/>
  <c r="F156"/>
  <c r="F159"/>
  <c r="F163"/>
  <c r="F164"/>
  <c r="D74" i="83"/>
  <c r="D13" i="84"/>
  <c r="D14"/>
  <c r="D15"/>
  <c r="D16"/>
  <c r="D17"/>
  <c r="D18"/>
  <c r="D19"/>
  <c r="D20"/>
  <c r="D21"/>
  <c r="D22"/>
  <c r="D23"/>
  <c r="D24"/>
  <c r="D25"/>
  <c r="D26"/>
  <c r="D27"/>
  <c r="D28"/>
  <c r="D29"/>
  <c r="D30"/>
  <c r="D31"/>
  <c r="D32"/>
  <c r="D33"/>
  <c r="D35"/>
  <c r="D36"/>
  <c r="D37"/>
  <c r="D39"/>
  <c r="D12"/>
  <c r="F165"/>
  <c r="F166"/>
  <c r="F167"/>
  <c r="F168"/>
  <c r="F169"/>
  <c r="F177"/>
  <c r="F180"/>
  <c r="F181"/>
  <c r="F185"/>
  <c r="F186"/>
  <c r="F188"/>
  <c r="B34"/>
  <c r="B62"/>
  <c r="B124"/>
  <c r="B141"/>
  <c r="E154"/>
  <c r="B125"/>
  <c r="B142"/>
  <c r="E155"/>
  <c r="B126"/>
  <c r="B143"/>
  <c r="E156"/>
  <c r="E159"/>
  <c r="E163"/>
  <c r="E164"/>
  <c r="C74" i="83"/>
  <c r="C13" i="84"/>
  <c r="C14"/>
  <c r="C15"/>
  <c r="C16"/>
  <c r="C17"/>
  <c r="C18"/>
  <c r="C19"/>
  <c r="C20"/>
  <c r="C21"/>
  <c r="C22"/>
  <c r="C23"/>
  <c r="C24"/>
  <c r="C25"/>
  <c r="C26"/>
  <c r="C27"/>
  <c r="C28"/>
  <c r="C29"/>
  <c r="C30"/>
  <c r="C31"/>
  <c r="C32"/>
  <c r="C33"/>
  <c r="C35"/>
  <c r="C36"/>
  <c r="C37"/>
  <c r="C39"/>
  <c r="C12"/>
  <c r="E165"/>
  <c r="E166"/>
  <c r="E167"/>
  <c r="E168"/>
  <c r="E169"/>
  <c r="E177"/>
  <c r="E180"/>
  <c r="E181"/>
  <c r="E185"/>
  <c r="E186"/>
  <c r="E188"/>
  <c r="D154"/>
  <c r="D155"/>
  <c r="D156"/>
  <c r="D159"/>
  <c r="D163"/>
  <c r="D164"/>
  <c r="F14" i="83"/>
  <c r="H14"/>
  <c r="B74"/>
  <c r="B13" i="84"/>
  <c r="B14"/>
  <c r="B15"/>
  <c r="B16"/>
  <c r="B17"/>
  <c r="B18"/>
  <c r="B19"/>
  <c r="B20"/>
  <c r="B21"/>
  <c r="B22"/>
  <c r="B23"/>
  <c r="B24"/>
  <c r="B25"/>
  <c r="B26"/>
  <c r="B27"/>
  <c r="B28"/>
  <c r="B29"/>
  <c r="B30"/>
  <c r="B31"/>
  <c r="B32"/>
  <c r="B33"/>
  <c r="B35"/>
  <c r="B36"/>
  <c r="B37"/>
  <c r="B39"/>
  <c r="B12"/>
  <c r="D165"/>
  <c r="D166"/>
  <c r="D167"/>
  <c r="D168"/>
  <c r="D169"/>
  <c r="D177"/>
  <c r="D180"/>
  <c r="D181"/>
  <c r="D185"/>
  <c r="D186"/>
  <c r="D188"/>
  <c r="A156"/>
  <c r="A155"/>
  <c r="A154"/>
  <c r="A70" i="83"/>
  <c r="A98"/>
  <c r="A37" i="84"/>
  <c r="A65"/>
  <c r="A135"/>
  <c r="A69" i="83"/>
  <c r="A97"/>
  <c r="A36" i="84"/>
  <c r="A64"/>
  <c r="A131"/>
  <c r="A68" i="83"/>
  <c r="A96"/>
  <c r="A35" i="84"/>
  <c r="A63"/>
  <c r="A127"/>
  <c r="A67" i="83"/>
  <c r="A95"/>
  <c r="A34" i="84"/>
  <c r="A62"/>
  <c r="A123"/>
  <c r="A63" i="83"/>
  <c r="A91"/>
  <c r="A30" i="84"/>
  <c r="A61"/>
  <c r="A122"/>
  <c r="A62" i="83"/>
  <c r="A90"/>
  <c r="A29" i="84"/>
  <c r="A60"/>
  <c r="A121"/>
  <c r="A61" i="83"/>
  <c r="A89"/>
  <c r="A28" i="84"/>
  <c r="A59"/>
  <c r="A120"/>
  <c r="A60" i="83"/>
  <c r="A88"/>
  <c r="A27" i="84"/>
  <c r="A58"/>
  <c r="A119"/>
  <c r="A59" i="83"/>
  <c r="A87"/>
  <c r="A26" i="84"/>
  <c r="A57"/>
  <c r="A118"/>
  <c r="A58" i="83"/>
  <c r="A86"/>
  <c r="A25" i="84"/>
  <c r="A56"/>
  <c r="A114"/>
  <c r="A57" i="83"/>
  <c r="A85"/>
  <c r="A24" i="84"/>
  <c r="A55"/>
  <c r="A110"/>
  <c r="A56" i="83"/>
  <c r="A84"/>
  <c r="A23" i="84"/>
  <c r="A54"/>
  <c r="A106"/>
  <c r="A55" i="83"/>
  <c r="A83"/>
  <c r="A22" i="84"/>
  <c r="A53"/>
  <c r="A102"/>
  <c r="A54" i="83"/>
  <c r="A82"/>
  <c r="A21" i="84"/>
  <c r="A52"/>
  <c r="A98"/>
  <c r="A53" i="83"/>
  <c r="A81"/>
  <c r="A20" i="84"/>
  <c r="A51"/>
  <c r="A94"/>
  <c r="A52" i="83"/>
  <c r="A80"/>
  <c r="A19" i="84"/>
  <c r="A50"/>
  <c r="A91"/>
  <c r="A51" i="83"/>
  <c r="A79"/>
  <c r="A18" i="84"/>
  <c r="A49"/>
  <c r="A87"/>
  <c r="A50" i="83"/>
  <c r="A78"/>
  <c r="A17" i="84"/>
  <c r="A48"/>
  <c r="A83"/>
  <c r="A49" i="83"/>
  <c r="A77"/>
  <c r="A16" i="84"/>
  <c r="A47"/>
  <c r="A79"/>
  <c r="A48" i="83"/>
  <c r="A76"/>
  <c r="A15" i="84"/>
  <c r="A46"/>
  <c r="A75"/>
  <c r="A47" i="83"/>
  <c r="A75"/>
  <c r="A14" i="84"/>
  <c r="A45"/>
  <c r="A71"/>
  <c r="A46" i="83"/>
  <c r="A74"/>
  <c r="A13" i="84"/>
  <c r="A44"/>
  <c r="A67"/>
  <c r="H65"/>
  <c r="G65"/>
  <c r="F65"/>
  <c r="E65"/>
  <c r="D65"/>
  <c r="C65"/>
  <c r="B65"/>
  <c r="H64"/>
  <c r="G64"/>
  <c r="F64"/>
  <c r="E64"/>
  <c r="D64"/>
  <c r="C64"/>
  <c r="B64"/>
  <c r="H63"/>
  <c r="G63"/>
  <c r="F63"/>
  <c r="E63"/>
  <c r="D63"/>
  <c r="C63"/>
  <c r="B63"/>
  <c r="E40"/>
  <c r="F40"/>
  <c r="G40"/>
  <c r="H40"/>
  <c r="H41"/>
  <c r="H61"/>
  <c r="G41"/>
  <c r="G61"/>
  <c r="F41"/>
  <c r="F61"/>
  <c r="E41"/>
  <c r="E61"/>
  <c r="D41"/>
  <c r="D61"/>
  <c r="C41"/>
  <c r="C61"/>
  <c r="B61"/>
  <c r="H60"/>
  <c r="G60"/>
  <c r="F60"/>
  <c r="E60"/>
  <c r="D60"/>
  <c r="C60"/>
  <c r="B60"/>
  <c r="H59"/>
  <c r="G59"/>
  <c r="F59"/>
  <c r="E59"/>
  <c r="D59"/>
  <c r="C59"/>
  <c r="B59"/>
  <c r="H58"/>
  <c r="G58"/>
  <c r="F58"/>
  <c r="E58"/>
  <c r="D58"/>
  <c r="C58"/>
  <c r="B58"/>
  <c r="H57"/>
  <c r="G57"/>
  <c r="F57"/>
  <c r="E57"/>
  <c r="D57"/>
  <c r="C57"/>
  <c r="B57"/>
  <c r="H56"/>
  <c r="G56"/>
  <c r="F56"/>
  <c r="E56"/>
  <c r="D56"/>
  <c r="C56"/>
  <c r="B56"/>
  <c r="H55"/>
  <c r="G55"/>
  <c r="F55"/>
  <c r="E55"/>
  <c r="D55"/>
  <c r="C55"/>
  <c r="B55"/>
  <c r="H54"/>
  <c r="G54"/>
  <c r="F54"/>
  <c r="E54"/>
  <c r="D54"/>
  <c r="C54"/>
  <c r="B54"/>
  <c r="H53"/>
  <c r="G53"/>
  <c r="F53"/>
  <c r="E53"/>
  <c r="D53"/>
  <c r="C53"/>
  <c r="B53"/>
  <c r="H52"/>
  <c r="G52"/>
  <c r="F52"/>
  <c r="E52"/>
  <c r="D52"/>
  <c r="C52"/>
  <c r="B52"/>
  <c r="H51"/>
  <c r="G51"/>
  <c r="F51"/>
  <c r="E51"/>
  <c r="D51"/>
  <c r="C51"/>
  <c r="B51"/>
  <c r="H50"/>
  <c r="G50"/>
  <c r="F50"/>
  <c r="E50"/>
  <c r="D50"/>
  <c r="C50"/>
  <c r="B50"/>
  <c r="H49"/>
  <c r="G49"/>
  <c r="F49"/>
  <c r="E49"/>
  <c r="D49"/>
  <c r="C49"/>
  <c r="B49"/>
  <c r="H48"/>
  <c r="G48"/>
  <c r="F48"/>
  <c r="E48"/>
  <c r="D48"/>
  <c r="C48"/>
  <c r="B48"/>
  <c r="H47"/>
  <c r="G47"/>
  <c r="F47"/>
  <c r="E47"/>
  <c r="D47"/>
  <c r="C47"/>
  <c r="B47"/>
  <c r="H46"/>
  <c r="G46"/>
  <c r="F46"/>
  <c r="E46"/>
  <c r="D46"/>
  <c r="C46"/>
  <c r="B46"/>
  <c r="H45"/>
  <c r="G45"/>
  <c r="F45"/>
  <c r="E45"/>
  <c r="D45"/>
  <c r="C45"/>
  <c r="B45"/>
  <c r="H44"/>
  <c r="G44"/>
  <c r="F44"/>
  <c r="E44"/>
  <c r="D44"/>
  <c r="C44"/>
  <c r="B44"/>
  <c r="H42"/>
  <c r="G42"/>
  <c r="F42"/>
  <c r="E42"/>
  <c r="D42"/>
  <c r="C42"/>
  <c r="A66" i="83"/>
  <c r="A94"/>
  <c r="A33" i="84"/>
  <c r="A65" i="83"/>
  <c r="A93"/>
  <c r="A32" i="84"/>
  <c r="A64" i="83"/>
  <c r="A92"/>
  <c r="A31" i="84"/>
  <c r="B92" i="81"/>
  <c r="C90"/>
  <c r="C92"/>
  <c r="D90"/>
  <c r="D92"/>
  <c r="E90"/>
  <c r="E92"/>
  <c r="F90"/>
  <c r="F92"/>
  <c r="G90"/>
  <c r="G92"/>
  <c r="H90"/>
  <c r="H92"/>
  <c r="I9" i="53"/>
  <c r="I62"/>
  <c r="E124"/>
  <c r="F124"/>
  <c r="G124"/>
  <c r="H124"/>
  <c r="I124"/>
  <c r="J124"/>
  <c r="J130"/>
  <c r="B93" i="81"/>
  <c r="C93"/>
  <c r="D93"/>
  <c r="E93"/>
  <c r="F93"/>
  <c r="G93"/>
  <c r="H93"/>
  <c r="I10" i="53"/>
  <c r="I63"/>
  <c r="H10"/>
  <c r="H63"/>
  <c r="J131"/>
  <c r="B94" i="81"/>
  <c r="C94"/>
  <c r="D94"/>
  <c r="E94"/>
  <c r="F94"/>
  <c r="G94"/>
  <c r="H94"/>
  <c r="I11" i="53"/>
  <c r="I64"/>
  <c r="H11"/>
  <c r="H64"/>
  <c r="J132"/>
  <c r="B95" i="81"/>
  <c r="C95"/>
  <c r="D95"/>
  <c r="E95"/>
  <c r="F95"/>
  <c r="G95"/>
  <c r="H95"/>
  <c r="I12" i="53"/>
  <c r="I65"/>
  <c r="H12"/>
  <c r="H65"/>
  <c r="J133"/>
  <c r="B96" i="81"/>
  <c r="C96"/>
  <c r="D96"/>
  <c r="E96"/>
  <c r="F96"/>
  <c r="G96"/>
  <c r="H96"/>
  <c r="I13" i="53"/>
  <c r="I66"/>
  <c r="H13"/>
  <c r="H66"/>
  <c r="J134"/>
  <c r="B97" i="81"/>
  <c r="C97"/>
  <c r="D97"/>
  <c r="E97"/>
  <c r="F97"/>
  <c r="G97"/>
  <c r="H97"/>
  <c r="I14" i="53"/>
  <c r="I67"/>
  <c r="H14"/>
  <c r="H67"/>
  <c r="J135"/>
  <c r="B98" i="81"/>
  <c r="C98"/>
  <c r="D98"/>
  <c r="E98"/>
  <c r="F98"/>
  <c r="G98"/>
  <c r="H98"/>
  <c r="I15" i="53"/>
  <c r="I68"/>
  <c r="H15"/>
  <c r="H68"/>
  <c r="J136"/>
  <c r="B99" i="81"/>
  <c r="C99"/>
  <c r="D99"/>
  <c r="E99"/>
  <c r="F99"/>
  <c r="G99"/>
  <c r="H99"/>
  <c r="I16" i="53"/>
  <c r="I69"/>
  <c r="H16"/>
  <c r="H69"/>
  <c r="J137"/>
  <c r="B101" i="81"/>
  <c r="C101"/>
  <c r="D101"/>
  <c r="E101"/>
  <c r="F101"/>
  <c r="G101"/>
  <c r="H101"/>
  <c r="I18" i="53"/>
  <c r="I71"/>
  <c r="H18"/>
  <c r="H71"/>
  <c r="J139"/>
  <c r="B102" i="81"/>
  <c r="C102"/>
  <c r="D102"/>
  <c r="E102"/>
  <c r="F102"/>
  <c r="G102"/>
  <c r="H102"/>
  <c r="I19" i="53"/>
  <c r="I72"/>
  <c r="H19"/>
  <c r="H72"/>
  <c r="J140"/>
  <c r="B103" i="81"/>
  <c r="C103"/>
  <c r="D103"/>
  <c r="E103"/>
  <c r="F103"/>
  <c r="G103"/>
  <c r="H103"/>
  <c r="I20" i="53"/>
  <c r="I73"/>
  <c r="H20"/>
  <c r="H73"/>
  <c r="J141"/>
  <c r="B104" i="81"/>
  <c r="C104"/>
  <c r="D104"/>
  <c r="E104"/>
  <c r="F104"/>
  <c r="G104"/>
  <c r="H104"/>
  <c r="I21" i="53"/>
  <c r="I74"/>
  <c r="H21"/>
  <c r="H74"/>
  <c r="J142"/>
  <c r="B105" i="81"/>
  <c r="C105"/>
  <c r="D105"/>
  <c r="E105"/>
  <c r="F105"/>
  <c r="G105"/>
  <c r="H105"/>
  <c r="I22" i="53"/>
  <c r="I75"/>
  <c r="H22"/>
  <c r="H75"/>
  <c r="J143"/>
  <c r="B106" i="81"/>
  <c r="C106"/>
  <c r="D106"/>
  <c r="E106"/>
  <c r="F106"/>
  <c r="G106"/>
  <c r="H106"/>
  <c r="I23" i="53"/>
  <c r="I76"/>
  <c r="H23"/>
  <c r="H76"/>
  <c r="J144"/>
  <c r="B107" i="81"/>
  <c r="C107"/>
  <c r="D107"/>
  <c r="E107"/>
  <c r="F107"/>
  <c r="G107"/>
  <c r="H107"/>
  <c r="I24" i="53"/>
  <c r="I77"/>
  <c r="H24"/>
  <c r="H77"/>
  <c r="J145"/>
  <c r="B108" i="81"/>
  <c r="C108"/>
  <c r="D108"/>
  <c r="E108"/>
  <c r="F108"/>
  <c r="G108"/>
  <c r="H108"/>
  <c r="I25" i="53"/>
  <c r="I78"/>
  <c r="H25"/>
  <c r="H78"/>
  <c r="J146"/>
  <c r="B110" i="81"/>
  <c r="C110"/>
  <c r="D110"/>
  <c r="E110"/>
  <c r="F110"/>
  <c r="G110"/>
  <c r="H110"/>
  <c r="I27" i="53"/>
  <c r="I80"/>
  <c r="H27"/>
  <c r="H80"/>
  <c r="J148"/>
  <c r="B111" i="81"/>
  <c r="C111"/>
  <c r="D111"/>
  <c r="E111"/>
  <c r="F111"/>
  <c r="G111"/>
  <c r="H111"/>
  <c r="I28" i="53"/>
  <c r="I81"/>
  <c r="H28"/>
  <c r="H81"/>
  <c r="J149"/>
  <c r="B112" i="81"/>
  <c r="C112"/>
  <c r="D112"/>
  <c r="E112"/>
  <c r="F112"/>
  <c r="G112"/>
  <c r="H112"/>
  <c r="I29" i="53"/>
  <c r="I82"/>
  <c r="H29"/>
  <c r="H82"/>
  <c r="J150"/>
  <c r="B102" i="83"/>
  <c r="C100"/>
  <c r="C102"/>
  <c r="D100"/>
  <c r="D102"/>
  <c r="E100"/>
  <c r="E102"/>
  <c r="F100"/>
  <c r="F102"/>
  <c r="G100"/>
  <c r="G102"/>
  <c r="H100"/>
  <c r="H102"/>
  <c r="I33" i="53"/>
  <c r="I86"/>
  <c r="B103" i="83"/>
  <c r="C103"/>
  <c r="D103"/>
  <c r="E103"/>
  <c r="F103"/>
  <c r="G103"/>
  <c r="H103"/>
  <c r="I34" i="53"/>
  <c r="I87"/>
  <c r="B104" i="83"/>
  <c r="C104"/>
  <c r="D104"/>
  <c r="E104"/>
  <c r="F104"/>
  <c r="G104"/>
  <c r="H104"/>
  <c r="I35" i="53"/>
  <c r="I88"/>
  <c r="B105" i="83"/>
  <c r="C105"/>
  <c r="D105"/>
  <c r="E105"/>
  <c r="F105"/>
  <c r="G105"/>
  <c r="H105"/>
  <c r="I36" i="53"/>
  <c r="I89"/>
  <c r="B106" i="83"/>
  <c r="C106"/>
  <c r="D106"/>
  <c r="E106"/>
  <c r="F106"/>
  <c r="G106"/>
  <c r="H106"/>
  <c r="I37" i="53"/>
  <c r="I90"/>
  <c r="B107" i="83"/>
  <c r="C107"/>
  <c r="D107"/>
  <c r="E107"/>
  <c r="F107"/>
  <c r="G107"/>
  <c r="H107"/>
  <c r="I38" i="53"/>
  <c r="I91"/>
  <c r="B108" i="83"/>
  <c r="C108"/>
  <c r="D108"/>
  <c r="E108"/>
  <c r="F108"/>
  <c r="G108"/>
  <c r="H108"/>
  <c r="I39" i="53"/>
  <c r="I92"/>
  <c r="B109" i="83"/>
  <c r="C109"/>
  <c r="D109"/>
  <c r="E109"/>
  <c r="F109"/>
  <c r="G109"/>
  <c r="H109"/>
  <c r="I40" i="53"/>
  <c r="I93"/>
  <c r="B110" i="83"/>
  <c r="C110"/>
  <c r="D110"/>
  <c r="E110"/>
  <c r="F110"/>
  <c r="G110"/>
  <c r="H110"/>
  <c r="I41" i="53"/>
  <c r="I94"/>
  <c r="B111" i="83"/>
  <c r="C111"/>
  <c r="D111"/>
  <c r="E111"/>
  <c r="F111"/>
  <c r="G111"/>
  <c r="H111"/>
  <c r="I42" i="53"/>
  <c r="I95"/>
  <c r="B112" i="83"/>
  <c r="C112"/>
  <c r="D112"/>
  <c r="E112"/>
  <c r="F112"/>
  <c r="G112"/>
  <c r="H112"/>
  <c r="I43" i="53"/>
  <c r="I96"/>
  <c r="B113" i="83"/>
  <c r="C113"/>
  <c r="D113"/>
  <c r="E113"/>
  <c r="F113"/>
  <c r="G113"/>
  <c r="H113"/>
  <c r="I44" i="53"/>
  <c r="I97"/>
  <c r="B114" i="83"/>
  <c r="C114"/>
  <c r="D114"/>
  <c r="E114"/>
  <c r="F114"/>
  <c r="G114"/>
  <c r="H114"/>
  <c r="I45" i="53"/>
  <c r="I98"/>
  <c r="B115" i="83"/>
  <c r="C115"/>
  <c r="D115"/>
  <c r="E115"/>
  <c r="F115"/>
  <c r="G115"/>
  <c r="H115"/>
  <c r="I46" i="53"/>
  <c r="I99"/>
  <c r="B116" i="83"/>
  <c r="C116"/>
  <c r="D116"/>
  <c r="E116"/>
  <c r="F116"/>
  <c r="G116"/>
  <c r="H116"/>
  <c r="I47" i="53"/>
  <c r="I100"/>
  <c r="B117" i="83"/>
  <c r="C117"/>
  <c r="D117"/>
  <c r="E117"/>
  <c r="F117"/>
  <c r="G117"/>
  <c r="H117"/>
  <c r="I48" i="53"/>
  <c r="I101"/>
  <c r="B118" i="83"/>
  <c r="C118"/>
  <c r="D118"/>
  <c r="E118"/>
  <c r="F118"/>
  <c r="G118"/>
  <c r="H118"/>
  <c r="I49" i="53"/>
  <c r="I102"/>
  <c r="B119" i="83"/>
  <c r="C119"/>
  <c r="D119"/>
  <c r="E119"/>
  <c r="F119"/>
  <c r="G119"/>
  <c r="H119"/>
  <c r="I50" i="53"/>
  <c r="I103"/>
  <c r="B120" i="83"/>
  <c r="C120"/>
  <c r="D120"/>
  <c r="E120"/>
  <c r="F120"/>
  <c r="G120"/>
  <c r="H120"/>
  <c r="I51" i="53"/>
  <c r="I104"/>
  <c r="B121" i="83"/>
  <c r="C121"/>
  <c r="D121"/>
  <c r="E121"/>
  <c r="F121"/>
  <c r="G121"/>
  <c r="H121"/>
  <c r="I52" i="53"/>
  <c r="I105"/>
  <c r="B122" i="83"/>
  <c r="C122"/>
  <c r="D122"/>
  <c r="E122"/>
  <c r="F122"/>
  <c r="G122"/>
  <c r="H122"/>
  <c r="I53" i="53"/>
  <c r="I106"/>
  <c r="B123" i="83"/>
  <c r="C123"/>
  <c r="D123"/>
  <c r="E123"/>
  <c r="F123"/>
  <c r="G123"/>
  <c r="H123"/>
  <c r="I54" i="53"/>
  <c r="I107"/>
  <c r="B124" i="83"/>
  <c r="C124"/>
  <c r="D124"/>
  <c r="E124"/>
  <c r="F124"/>
  <c r="G124"/>
  <c r="H124"/>
  <c r="I55" i="53"/>
  <c r="I108"/>
  <c r="B125" i="83"/>
  <c r="C125"/>
  <c r="D125"/>
  <c r="E125"/>
  <c r="F125"/>
  <c r="G125"/>
  <c r="H125"/>
  <c r="I56" i="53"/>
  <c r="I109"/>
  <c r="B126" i="83"/>
  <c r="C126"/>
  <c r="D126"/>
  <c r="E126"/>
  <c r="F126"/>
  <c r="G126"/>
  <c r="H126"/>
  <c r="I57" i="53"/>
  <c r="I110"/>
  <c r="B113" i="81"/>
  <c r="C113"/>
  <c r="D113"/>
  <c r="E113"/>
  <c r="F113"/>
  <c r="G113"/>
  <c r="H113"/>
  <c r="I30" i="53"/>
  <c r="I83"/>
  <c r="I31"/>
  <c r="I84"/>
  <c r="I114"/>
  <c r="H9"/>
  <c r="H62"/>
  <c r="H33"/>
  <c r="H86"/>
  <c r="H34"/>
  <c r="H87"/>
  <c r="H35"/>
  <c r="H88"/>
  <c r="H36"/>
  <c r="H89"/>
  <c r="H37"/>
  <c r="H90"/>
  <c r="H38"/>
  <c r="H91"/>
  <c r="H39"/>
  <c r="H92"/>
  <c r="H40"/>
  <c r="H93"/>
  <c r="H41"/>
  <c r="H94"/>
  <c r="H42"/>
  <c r="H95"/>
  <c r="H43"/>
  <c r="H96"/>
  <c r="H44"/>
  <c r="H97"/>
  <c r="H45"/>
  <c r="H98"/>
  <c r="H46"/>
  <c r="H99"/>
  <c r="H47"/>
  <c r="H100"/>
  <c r="H48"/>
  <c r="H101"/>
  <c r="H49"/>
  <c r="H102"/>
  <c r="H50"/>
  <c r="H103"/>
  <c r="H51"/>
  <c r="H104"/>
  <c r="H52"/>
  <c r="H105"/>
  <c r="H53"/>
  <c r="H106"/>
  <c r="H54"/>
  <c r="H107"/>
  <c r="H55"/>
  <c r="H108"/>
  <c r="H56"/>
  <c r="H109"/>
  <c r="H57"/>
  <c r="H110"/>
  <c r="H30"/>
  <c r="H83"/>
  <c r="H31"/>
  <c r="H84"/>
  <c r="H114"/>
  <c r="J182"/>
  <c r="I115"/>
  <c r="H115"/>
  <c r="J183"/>
  <c r="I116"/>
  <c r="H116"/>
  <c r="J184"/>
  <c r="I118"/>
  <c r="H118"/>
  <c r="J187"/>
  <c r="I119"/>
  <c r="H119"/>
  <c r="J188"/>
  <c r="J154"/>
  <c r="J155"/>
  <c r="J156"/>
  <c r="J157"/>
  <c r="J158"/>
  <c r="J159"/>
  <c r="J160"/>
  <c r="J161"/>
  <c r="J162"/>
  <c r="J163"/>
  <c r="J164"/>
  <c r="J165"/>
  <c r="J166"/>
  <c r="J167"/>
  <c r="J168"/>
  <c r="J169"/>
  <c r="J170"/>
  <c r="J171"/>
  <c r="J172"/>
  <c r="J173"/>
  <c r="J174"/>
  <c r="J175"/>
  <c r="J176"/>
  <c r="J177"/>
  <c r="J178"/>
  <c r="J151"/>
  <c r="J152"/>
  <c r="J191"/>
  <c r="J197"/>
  <c r="J198"/>
  <c r="J199"/>
  <c r="J200"/>
  <c r="J201"/>
  <c r="J202"/>
  <c r="J203"/>
  <c r="J204"/>
  <c r="J206"/>
  <c r="J207"/>
  <c r="J208"/>
  <c r="J209"/>
  <c r="J210"/>
  <c r="J211"/>
  <c r="J212"/>
  <c r="J213"/>
  <c r="J215"/>
  <c r="J216"/>
  <c r="J217"/>
  <c r="J245"/>
  <c r="J246"/>
  <c r="J247"/>
  <c r="J250"/>
  <c r="J251"/>
  <c r="J253"/>
  <c r="J254"/>
  <c r="I197"/>
  <c r="I198"/>
  <c r="I199"/>
  <c r="I200"/>
  <c r="I201"/>
  <c r="I202"/>
  <c r="I203"/>
  <c r="I204"/>
  <c r="I206"/>
  <c r="I207"/>
  <c r="I208"/>
  <c r="I209"/>
  <c r="I210"/>
  <c r="I211"/>
  <c r="I212"/>
  <c r="I213"/>
  <c r="I215"/>
  <c r="I216"/>
  <c r="I217"/>
  <c r="I245"/>
  <c r="I246"/>
  <c r="I247"/>
  <c r="I250"/>
  <c r="I251"/>
  <c r="I221"/>
  <c r="I222"/>
  <c r="I223"/>
  <c r="I224"/>
  <c r="I225"/>
  <c r="I226"/>
  <c r="I227"/>
  <c r="I228"/>
  <c r="I229"/>
  <c r="I230"/>
  <c r="I231"/>
  <c r="I232"/>
  <c r="I233"/>
  <c r="I234"/>
  <c r="I235"/>
  <c r="I236"/>
  <c r="I237"/>
  <c r="I238"/>
  <c r="I239"/>
  <c r="I240"/>
  <c r="I241"/>
  <c r="I242"/>
  <c r="I205"/>
  <c r="I214"/>
  <c r="I218"/>
  <c r="I219"/>
  <c r="I243"/>
  <c r="J14" i="61"/>
  <c r="K5"/>
  <c r="J259" i="53"/>
  <c r="J221"/>
  <c r="J222"/>
  <c r="J223"/>
  <c r="J224"/>
  <c r="J225"/>
  <c r="J226"/>
  <c r="J227"/>
  <c r="J228"/>
  <c r="J229"/>
  <c r="J230"/>
  <c r="J231"/>
  <c r="J232"/>
  <c r="J233"/>
  <c r="J234"/>
  <c r="J235"/>
  <c r="J236"/>
  <c r="J237"/>
  <c r="J238"/>
  <c r="J239"/>
  <c r="J240"/>
  <c r="J241"/>
  <c r="J242"/>
  <c r="J205"/>
  <c r="J214"/>
  <c r="J218"/>
  <c r="J219"/>
  <c r="J243"/>
  <c r="K14" i="61"/>
  <c r="J260" i="53"/>
  <c r="J262"/>
  <c r="J265"/>
  <c r="J266"/>
  <c r="J267"/>
  <c r="J268"/>
  <c r="J273"/>
  <c r="J274"/>
  <c r="J276"/>
  <c r="I130"/>
  <c r="G10"/>
  <c r="G63"/>
  <c r="I131"/>
  <c r="G11"/>
  <c r="G64"/>
  <c r="I132"/>
  <c r="G12"/>
  <c r="G65"/>
  <c r="I133"/>
  <c r="G13"/>
  <c r="G66"/>
  <c r="I134"/>
  <c r="G14"/>
  <c r="G67"/>
  <c r="I135"/>
  <c r="G15"/>
  <c r="G68"/>
  <c r="I136"/>
  <c r="G16"/>
  <c r="G69"/>
  <c r="I137"/>
  <c r="G18"/>
  <c r="G71"/>
  <c r="I139"/>
  <c r="G19"/>
  <c r="G72"/>
  <c r="I140"/>
  <c r="G20"/>
  <c r="G73"/>
  <c r="I141"/>
  <c r="G21"/>
  <c r="G74"/>
  <c r="I142"/>
  <c r="G22"/>
  <c r="G75"/>
  <c r="I143"/>
  <c r="G23"/>
  <c r="G76"/>
  <c r="I144"/>
  <c r="G24"/>
  <c r="G77"/>
  <c r="I145"/>
  <c r="G25"/>
  <c r="G78"/>
  <c r="I146"/>
  <c r="G27"/>
  <c r="G80"/>
  <c r="I148"/>
  <c r="G28"/>
  <c r="G81"/>
  <c r="I149"/>
  <c r="G29"/>
  <c r="G82"/>
  <c r="I150"/>
  <c r="G9"/>
  <c r="G62"/>
  <c r="G33"/>
  <c r="G86"/>
  <c r="G34"/>
  <c r="G87"/>
  <c r="G35"/>
  <c r="G88"/>
  <c r="G36"/>
  <c r="G89"/>
  <c r="G37"/>
  <c r="G90"/>
  <c r="G38"/>
  <c r="G91"/>
  <c r="G39"/>
  <c r="G92"/>
  <c r="G40"/>
  <c r="G93"/>
  <c r="G41"/>
  <c r="G94"/>
  <c r="G42"/>
  <c r="G95"/>
  <c r="G43"/>
  <c r="G96"/>
  <c r="G44"/>
  <c r="G97"/>
  <c r="G45"/>
  <c r="G98"/>
  <c r="G46"/>
  <c r="G99"/>
  <c r="G47"/>
  <c r="G100"/>
  <c r="G48"/>
  <c r="G101"/>
  <c r="G49"/>
  <c r="G102"/>
  <c r="G50"/>
  <c r="G103"/>
  <c r="G51"/>
  <c r="G104"/>
  <c r="G52"/>
  <c r="G105"/>
  <c r="G53"/>
  <c r="G106"/>
  <c r="G54"/>
  <c r="G107"/>
  <c r="G55"/>
  <c r="G108"/>
  <c r="G56"/>
  <c r="G109"/>
  <c r="G57"/>
  <c r="G110"/>
  <c r="G30"/>
  <c r="G83"/>
  <c r="G31"/>
  <c r="G84"/>
  <c r="G114"/>
  <c r="I182"/>
  <c r="G115"/>
  <c r="I183"/>
  <c r="G116"/>
  <c r="I184"/>
  <c r="G118"/>
  <c r="I187"/>
  <c r="G119"/>
  <c r="I188"/>
  <c r="I154"/>
  <c r="I155"/>
  <c r="I156"/>
  <c r="I157"/>
  <c r="I158"/>
  <c r="I159"/>
  <c r="I160"/>
  <c r="I161"/>
  <c r="I162"/>
  <c r="I163"/>
  <c r="I164"/>
  <c r="I165"/>
  <c r="I166"/>
  <c r="I167"/>
  <c r="I168"/>
  <c r="I169"/>
  <c r="I170"/>
  <c r="I171"/>
  <c r="I172"/>
  <c r="I173"/>
  <c r="I174"/>
  <c r="I175"/>
  <c r="I176"/>
  <c r="I177"/>
  <c r="I178"/>
  <c r="I151"/>
  <c r="I152"/>
  <c r="I191"/>
  <c r="I253"/>
  <c r="I254"/>
  <c r="H197"/>
  <c r="H198"/>
  <c r="H199"/>
  <c r="H200"/>
  <c r="H201"/>
  <c r="H202"/>
  <c r="H203"/>
  <c r="H204"/>
  <c r="H206"/>
  <c r="H207"/>
  <c r="H208"/>
  <c r="H209"/>
  <c r="H210"/>
  <c r="H211"/>
  <c r="H212"/>
  <c r="H213"/>
  <c r="H215"/>
  <c r="H216"/>
  <c r="H217"/>
  <c r="H245"/>
  <c r="H246"/>
  <c r="H247"/>
  <c r="H250"/>
  <c r="H251"/>
  <c r="H221"/>
  <c r="H222"/>
  <c r="H223"/>
  <c r="H224"/>
  <c r="H225"/>
  <c r="H226"/>
  <c r="H227"/>
  <c r="H228"/>
  <c r="H229"/>
  <c r="H230"/>
  <c r="H231"/>
  <c r="H232"/>
  <c r="H233"/>
  <c r="H234"/>
  <c r="H235"/>
  <c r="H236"/>
  <c r="H237"/>
  <c r="H238"/>
  <c r="H239"/>
  <c r="H240"/>
  <c r="H241"/>
  <c r="H242"/>
  <c r="H205"/>
  <c r="H214"/>
  <c r="H218"/>
  <c r="H219"/>
  <c r="H243"/>
  <c r="I14" i="61"/>
  <c r="J5"/>
  <c r="I259" i="53"/>
  <c r="I260"/>
  <c r="I262"/>
  <c r="I265"/>
  <c r="I266"/>
  <c r="I267"/>
  <c r="I268"/>
  <c r="I273"/>
  <c r="I274"/>
  <c r="I276"/>
  <c r="H130"/>
  <c r="F10"/>
  <c r="F63"/>
  <c r="H131"/>
  <c r="F11"/>
  <c r="F64"/>
  <c r="H132"/>
  <c r="F12"/>
  <c r="F65"/>
  <c r="H133"/>
  <c r="F13"/>
  <c r="F66"/>
  <c r="H134"/>
  <c r="F14"/>
  <c r="F67"/>
  <c r="H135"/>
  <c r="F15"/>
  <c r="F68"/>
  <c r="H136"/>
  <c r="F16"/>
  <c r="F69"/>
  <c r="H137"/>
  <c r="F18"/>
  <c r="F71"/>
  <c r="H139"/>
  <c r="F19"/>
  <c r="F72"/>
  <c r="H140"/>
  <c r="F20"/>
  <c r="F73"/>
  <c r="H141"/>
  <c r="F21"/>
  <c r="F74"/>
  <c r="H142"/>
  <c r="F22"/>
  <c r="F75"/>
  <c r="H143"/>
  <c r="F23"/>
  <c r="F76"/>
  <c r="H144"/>
  <c r="F24"/>
  <c r="F77"/>
  <c r="H145"/>
  <c r="F25"/>
  <c r="F78"/>
  <c r="H146"/>
  <c r="F27"/>
  <c r="F80"/>
  <c r="H148"/>
  <c r="F28"/>
  <c r="F81"/>
  <c r="H149"/>
  <c r="F29"/>
  <c r="F82"/>
  <c r="H150"/>
  <c r="F9"/>
  <c r="F62"/>
  <c r="F33"/>
  <c r="F86"/>
  <c r="F34"/>
  <c r="F87"/>
  <c r="F35"/>
  <c r="F88"/>
  <c r="F36"/>
  <c r="F89"/>
  <c r="F37"/>
  <c r="F90"/>
  <c r="F38"/>
  <c r="F91"/>
  <c r="F39"/>
  <c r="F92"/>
  <c r="F40"/>
  <c r="F93"/>
  <c r="F41"/>
  <c r="F94"/>
  <c r="F42"/>
  <c r="F95"/>
  <c r="F43"/>
  <c r="F96"/>
  <c r="F44"/>
  <c r="F97"/>
  <c r="F45"/>
  <c r="F98"/>
  <c r="F46"/>
  <c r="F99"/>
  <c r="F47"/>
  <c r="F100"/>
  <c r="F48"/>
  <c r="F101"/>
  <c r="F49"/>
  <c r="F102"/>
  <c r="F50"/>
  <c r="F103"/>
  <c r="F51"/>
  <c r="F104"/>
  <c r="F52"/>
  <c r="F105"/>
  <c r="F53"/>
  <c r="F106"/>
  <c r="F54"/>
  <c r="F107"/>
  <c r="F55"/>
  <c r="F108"/>
  <c r="F56"/>
  <c r="F109"/>
  <c r="F57"/>
  <c r="F110"/>
  <c r="F30"/>
  <c r="F83"/>
  <c r="F31"/>
  <c r="F84"/>
  <c r="F114"/>
  <c r="H182"/>
  <c r="F115"/>
  <c r="H183"/>
  <c r="F116"/>
  <c r="H184"/>
  <c r="F118"/>
  <c r="H187"/>
  <c r="F119"/>
  <c r="H188"/>
  <c r="H154"/>
  <c r="H155"/>
  <c r="H156"/>
  <c r="H157"/>
  <c r="H158"/>
  <c r="H159"/>
  <c r="H160"/>
  <c r="H161"/>
  <c r="H162"/>
  <c r="H163"/>
  <c r="H164"/>
  <c r="H165"/>
  <c r="H166"/>
  <c r="H167"/>
  <c r="H168"/>
  <c r="H169"/>
  <c r="H170"/>
  <c r="H171"/>
  <c r="H172"/>
  <c r="H173"/>
  <c r="H174"/>
  <c r="H175"/>
  <c r="H176"/>
  <c r="H177"/>
  <c r="H178"/>
  <c r="H151"/>
  <c r="H152"/>
  <c r="H191"/>
  <c r="H253"/>
  <c r="H254"/>
  <c r="G197"/>
  <c r="G198"/>
  <c r="G199"/>
  <c r="G200"/>
  <c r="G201"/>
  <c r="G202"/>
  <c r="G203"/>
  <c r="G204"/>
  <c r="G206"/>
  <c r="G207"/>
  <c r="G208"/>
  <c r="G209"/>
  <c r="G210"/>
  <c r="G211"/>
  <c r="G212"/>
  <c r="G213"/>
  <c r="G215"/>
  <c r="G216"/>
  <c r="G217"/>
  <c r="G245"/>
  <c r="G246"/>
  <c r="G247"/>
  <c r="G250"/>
  <c r="G251"/>
  <c r="G221"/>
  <c r="G222"/>
  <c r="G223"/>
  <c r="G224"/>
  <c r="G225"/>
  <c r="G226"/>
  <c r="G227"/>
  <c r="G228"/>
  <c r="G229"/>
  <c r="G230"/>
  <c r="G231"/>
  <c r="G232"/>
  <c r="G233"/>
  <c r="G234"/>
  <c r="G235"/>
  <c r="G236"/>
  <c r="G237"/>
  <c r="G238"/>
  <c r="G239"/>
  <c r="G240"/>
  <c r="G241"/>
  <c r="G242"/>
  <c r="G205"/>
  <c r="G214"/>
  <c r="G218"/>
  <c r="G219"/>
  <c r="G243"/>
  <c r="H14" i="61"/>
  <c r="I5"/>
  <c r="H259" i="53"/>
  <c r="H260"/>
  <c r="H262"/>
  <c r="H265"/>
  <c r="H266"/>
  <c r="H267"/>
  <c r="H268"/>
  <c r="H273"/>
  <c r="H274"/>
  <c r="H276"/>
  <c r="G130"/>
  <c r="E10"/>
  <c r="E63"/>
  <c r="G131"/>
  <c r="E11"/>
  <c r="E64"/>
  <c r="G132"/>
  <c r="E12"/>
  <c r="E65"/>
  <c r="G133"/>
  <c r="E13"/>
  <c r="E66"/>
  <c r="G134"/>
  <c r="E14"/>
  <c r="E67"/>
  <c r="G135"/>
  <c r="E15"/>
  <c r="E68"/>
  <c r="G136"/>
  <c r="E16"/>
  <c r="E69"/>
  <c r="G137"/>
  <c r="E18"/>
  <c r="E71"/>
  <c r="G139"/>
  <c r="E19"/>
  <c r="E72"/>
  <c r="G140"/>
  <c r="E20"/>
  <c r="E73"/>
  <c r="G141"/>
  <c r="E21"/>
  <c r="E74"/>
  <c r="G142"/>
  <c r="E22"/>
  <c r="E75"/>
  <c r="G143"/>
  <c r="E23"/>
  <c r="E76"/>
  <c r="G144"/>
  <c r="E24"/>
  <c r="E77"/>
  <c r="G145"/>
  <c r="E25"/>
  <c r="E78"/>
  <c r="G146"/>
  <c r="E27"/>
  <c r="E80"/>
  <c r="G148"/>
  <c r="E28"/>
  <c r="E81"/>
  <c r="G149"/>
  <c r="E29"/>
  <c r="E82"/>
  <c r="G150"/>
  <c r="E9"/>
  <c r="E62"/>
  <c r="E33"/>
  <c r="E86"/>
  <c r="E34"/>
  <c r="E87"/>
  <c r="E35"/>
  <c r="E88"/>
  <c r="E36"/>
  <c r="E89"/>
  <c r="E37"/>
  <c r="E90"/>
  <c r="E38"/>
  <c r="E91"/>
  <c r="E39"/>
  <c r="E92"/>
  <c r="E40"/>
  <c r="E93"/>
  <c r="E41"/>
  <c r="E94"/>
  <c r="E42"/>
  <c r="E95"/>
  <c r="E43"/>
  <c r="E96"/>
  <c r="E44"/>
  <c r="E97"/>
  <c r="E45"/>
  <c r="E98"/>
  <c r="E46"/>
  <c r="E99"/>
  <c r="E47"/>
  <c r="E100"/>
  <c r="E48"/>
  <c r="E101"/>
  <c r="E49"/>
  <c r="E102"/>
  <c r="E50"/>
  <c r="E103"/>
  <c r="E51"/>
  <c r="E104"/>
  <c r="E52"/>
  <c r="E105"/>
  <c r="E53"/>
  <c r="E106"/>
  <c r="E54"/>
  <c r="E107"/>
  <c r="E55"/>
  <c r="E108"/>
  <c r="E56"/>
  <c r="E109"/>
  <c r="E57"/>
  <c r="E110"/>
  <c r="E30"/>
  <c r="E83"/>
  <c r="E31"/>
  <c r="E84"/>
  <c r="E114"/>
  <c r="G182"/>
  <c r="E115"/>
  <c r="G183"/>
  <c r="E116"/>
  <c r="G184"/>
  <c r="E118"/>
  <c r="G187"/>
  <c r="E119"/>
  <c r="G188"/>
  <c r="G154"/>
  <c r="G155"/>
  <c r="G156"/>
  <c r="G157"/>
  <c r="G158"/>
  <c r="G159"/>
  <c r="G160"/>
  <c r="G161"/>
  <c r="G162"/>
  <c r="G163"/>
  <c r="G164"/>
  <c r="G165"/>
  <c r="G166"/>
  <c r="G167"/>
  <c r="G168"/>
  <c r="G169"/>
  <c r="G170"/>
  <c r="G171"/>
  <c r="G172"/>
  <c r="G173"/>
  <c r="G174"/>
  <c r="G175"/>
  <c r="G176"/>
  <c r="G177"/>
  <c r="G178"/>
  <c r="G151"/>
  <c r="G152"/>
  <c r="G191"/>
  <c r="G253"/>
  <c r="G254"/>
  <c r="F197"/>
  <c r="F198"/>
  <c r="F199"/>
  <c r="F200"/>
  <c r="F201"/>
  <c r="F202"/>
  <c r="F203"/>
  <c r="F204"/>
  <c r="F206"/>
  <c r="F207"/>
  <c r="F208"/>
  <c r="F209"/>
  <c r="F210"/>
  <c r="F211"/>
  <c r="F212"/>
  <c r="F213"/>
  <c r="F215"/>
  <c r="F216"/>
  <c r="F217"/>
  <c r="F245"/>
  <c r="F246"/>
  <c r="F247"/>
  <c r="F250"/>
  <c r="F251"/>
  <c r="F221"/>
  <c r="F222"/>
  <c r="F223"/>
  <c r="F224"/>
  <c r="F225"/>
  <c r="F226"/>
  <c r="F227"/>
  <c r="F228"/>
  <c r="F229"/>
  <c r="F230"/>
  <c r="F231"/>
  <c r="F232"/>
  <c r="F233"/>
  <c r="F234"/>
  <c r="F235"/>
  <c r="F236"/>
  <c r="F237"/>
  <c r="F238"/>
  <c r="F239"/>
  <c r="F240"/>
  <c r="F241"/>
  <c r="F242"/>
  <c r="F205"/>
  <c r="F214"/>
  <c r="F218"/>
  <c r="F219"/>
  <c r="F243"/>
  <c r="G14" i="61"/>
  <c r="H5"/>
  <c r="G259" i="53"/>
  <c r="G260"/>
  <c r="G262"/>
  <c r="G265"/>
  <c r="G266"/>
  <c r="G267"/>
  <c r="G268"/>
  <c r="G273"/>
  <c r="G274"/>
  <c r="G276"/>
  <c r="F130"/>
  <c r="D10"/>
  <c r="D63"/>
  <c r="F131"/>
  <c r="D11"/>
  <c r="D64"/>
  <c r="F132"/>
  <c r="D12"/>
  <c r="D65"/>
  <c r="F133"/>
  <c r="D13"/>
  <c r="D66"/>
  <c r="F134"/>
  <c r="D14"/>
  <c r="D67"/>
  <c r="F135"/>
  <c r="D15"/>
  <c r="D68"/>
  <c r="F136"/>
  <c r="D16"/>
  <c r="D69"/>
  <c r="F137"/>
  <c r="D18"/>
  <c r="D71"/>
  <c r="F139"/>
  <c r="D19"/>
  <c r="D72"/>
  <c r="F140"/>
  <c r="D20"/>
  <c r="D73"/>
  <c r="F141"/>
  <c r="D21"/>
  <c r="D74"/>
  <c r="F142"/>
  <c r="D22"/>
  <c r="D75"/>
  <c r="F143"/>
  <c r="D23"/>
  <c r="D76"/>
  <c r="F144"/>
  <c r="D24"/>
  <c r="D77"/>
  <c r="F145"/>
  <c r="D25"/>
  <c r="D78"/>
  <c r="F146"/>
  <c r="D27"/>
  <c r="D80"/>
  <c r="F148"/>
  <c r="D28"/>
  <c r="D81"/>
  <c r="F149"/>
  <c r="D29"/>
  <c r="D82"/>
  <c r="F150"/>
  <c r="D9"/>
  <c r="D62"/>
  <c r="D33"/>
  <c r="D86"/>
  <c r="D34"/>
  <c r="D87"/>
  <c r="D35"/>
  <c r="D88"/>
  <c r="D36"/>
  <c r="D89"/>
  <c r="D37"/>
  <c r="D90"/>
  <c r="D38"/>
  <c r="D91"/>
  <c r="D39"/>
  <c r="D92"/>
  <c r="D40"/>
  <c r="D93"/>
  <c r="D41"/>
  <c r="D94"/>
  <c r="D42"/>
  <c r="D95"/>
  <c r="D43"/>
  <c r="D96"/>
  <c r="D44"/>
  <c r="D97"/>
  <c r="D45"/>
  <c r="D98"/>
  <c r="D46"/>
  <c r="D99"/>
  <c r="D47"/>
  <c r="D100"/>
  <c r="D48"/>
  <c r="D101"/>
  <c r="D49"/>
  <c r="D102"/>
  <c r="D50"/>
  <c r="D103"/>
  <c r="D51"/>
  <c r="D104"/>
  <c r="D52"/>
  <c r="D105"/>
  <c r="D53"/>
  <c r="D106"/>
  <c r="D54"/>
  <c r="D107"/>
  <c r="D55"/>
  <c r="D108"/>
  <c r="D56"/>
  <c r="D109"/>
  <c r="D57"/>
  <c r="D110"/>
  <c r="D30"/>
  <c r="D83"/>
  <c r="D31"/>
  <c r="D84"/>
  <c r="D114"/>
  <c r="F182"/>
  <c r="D115"/>
  <c r="F183"/>
  <c r="D116"/>
  <c r="F184"/>
  <c r="D118"/>
  <c r="F187"/>
  <c r="D119"/>
  <c r="F188"/>
  <c r="F154"/>
  <c r="F155"/>
  <c r="F156"/>
  <c r="F157"/>
  <c r="F158"/>
  <c r="F159"/>
  <c r="F160"/>
  <c r="F161"/>
  <c r="F162"/>
  <c r="F163"/>
  <c r="F164"/>
  <c r="F165"/>
  <c r="F166"/>
  <c r="F167"/>
  <c r="F168"/>
  <c r="F169"/>
  <c r="F170"/>
  <c r="F171"/>
  <c r="F172"/>
  <c r="F173"/>
  <c r="F174"/>
  <c r="F175"/>
  <c r="F176"/>
  <c r="F177"/>
  <c r="F178"/>
  <c r="F151"/>
  <c r="F152"/>
  <c r="F191"/>
  <c r="F253"/>
  <c r="F254"/>
  <c r="E197"/>
  <c r="E198"/>
  <c r="E199"/>
  <c r="E200"/>
  <c r="E201"/>
  <c r="E202"/>
  <c r="E203"/>
  <c r="E204"/>
  <c r="E206"/>
  <c r="E207"/>
  <c r="E208"/>
  <c r="E209"/>
  <c r="E210"/>
  <c r="E211"/>
  <c r="E212"/>
  <c r="E213"/>
  <c r="E215"/>
  <c r="E216"/>
  <c r="E217"/>
  <c r="E245"/>
  <c r="E246"/>
  <c r="E247"/>
  <c r="E250"/>
  <c r="E251"/>
  <c r="E221"/>
  <c r="E222"/>
  <c r="E223"/>
  <c r="E224"/>
  <c r="E225"/>
  <c r="E226"/>
  <c r="E227"/>
  <c r="E228"/>
  <c r="E229"/>
  <c r="E230"/>
  <c r="E231"/>
  <c r="E232"/>
  <c r="E233"/>
  <c r="E234"/>
  <c r="E235"/>
  <c r="E236"/>
  <c r="E237"/>
  <c r="E238"/>
  <c r="E239"/>
  <c r="E240"/>
  <c r="E241"/>
  <c r="E242"/>
  <c r="E205"/>
  <c r="E214"/>
  <c r="E218"/>
  <c r="E219"/>
  <c r="E243"/>
  <c r="F14" i="61"/>
  <c r="G5"/>
  <c r="F259" i="53"/>
  <c r="F260"/>
  <c r="F262"/>
  <c r="F265"/>
  <c r="F266"/>
  <c r="F267"/>
  <c r="F268"/>
  <c r="F273"/>
  <c r="F274"/>
  <c r="F276"/>
  <c r="E130"/>
  <c r="C10"/>
  <c r="C63"/>
  <c r="E131"/>
  <c r="C11"/>
  <c r="C64"/>
  <c r="E132"/>
  <c r="C12"/>
  <c r="C65"/>
  <c r="E133"/>
  <c r="C13"/>
  <c r="C66"/>
  <c r="E134"/>
  <c r="C14"/>
  <c r="C67"/>
  <c r="E135"/>
  <c r="C15"/>
  <c r="C68"/>
  <c r="E136"/>
  <c r="C16"/>
  <c r="C69"/>
  <c r="E137"/>
  <c r="C18"/>
  <c r="C71"/>
  <c r="E139"/>
  <c r="C19"/>
  <c r="C72"/>
  <c r="E140"/>
  <c r="C20"/>
  <c r="C73"/>
  <c r="E141"/>
  <c r="C21"/>
  <c r="C74"/>
  <c r="E142"/>
  <c r="C22"/>
  <c r="C75"/>
  <c r="E143"/>
  <c r="C23"/>
  <c r="C76"/>
  <c r="E144"/>
  <c r="C24"/>
  <c r="C77"/>
  <c r="E145"/>
  <c r="C25"/>
  <c r="C78"/>
  <c r="E146"/>
  <c r="C27"/>
  <c r="C80"/>
  <c r="E148"/>
  <c r="C28"/>
  <c r="C81"/>
  <c r="E149"/>
  <c r="C29"/>
  <c r="C82"/>
  <c r="E150"/>
  <c r="C9"/>
  <c r="C62"/>
  <c r="C33"/>
  <c r="C86"/>
  <c r="C34"/>
  <c r="C87"/>
  <c r="C35"/>
  <c r="C88"/>
  <c r="C36"/>
  <c r="C89"/>
  <c r="C37"/>
  <c r="C90"/>
  <c r="C38"/>
  <c r="C91"/>
  <c r="C39"/>
  <c r="C92"/>
  <c r="C40"/>
  <c r="C93"/>
  <c r="C41"/>
  <c r="C94"/>
  <c r="C42"/>
  <c r="C95"/>
  <c r="C43"/>
  <c r="C96"/>
  <c r="C44"/>
  <c r="C97"/>
  <c r="C45"/>
  <c r="C98"/>
  <c r="C46"/>
  <c r="C99"/>
  <c r="C47"/>
  <c r="C100"/>
  <c r="C48"/>
  <c r="C101"/>
  <c r="C49"/>
  <c r="C102"/>
  <c r="C50"/>
  <c r="C103"/>
  <c r="C51"/>
  <c r="C104"/>
  <c r="C52"/>
  <c r="C105"/>
  <c r="C53"/>
  <c r="C106"/>
  <c r="C54"/>
  <c r="C107"/>
  <c r="C55"/>
  <c r="C108"/>
  <c r="C56"/>
  <c r="C109"/>
  <c r="C57"/>
  <c r="C110"/>
  <c r="C30"/>
  <c r="C83"/>
  <c r="C31"/>
  <c r="C84"/>
  <c r="C114"/>
  <c r="E182"/>
  <c r="C115"/>
  <c r="E183"/>
  <c r="C116"/>
  <c r="E184"/>
  <c r="C118"/>
  <c r="E187"/>
  <c r="C119"/>
  <c r="E188"/>
  <c r="E154"/>
  <c r="E155"/>
  <c r="E156"/>
  <c r="E157"/>
  <c r="E158"/>
  <c r="E159"/>
  <c r="E160"/>
  <c r="E161"/>
  <c r="E162"/>
  <c r="E163"/>
  <c r="E164"/>
  <c r="E165"/>
  <c r="E166"/>
  <c r="E167"/>
  <c r="E168"/>
  <c r="E169"/>
  <c r="E170"/>
  <c r="E171"/>
  <c r="E172"/>
  <c r="E173"/>
  <c r="E174"/>
  <c r="E175"/>
  <c r="E176"/>
  <c r="E177"/>
  <c r="E178"/>
  <c r="E151"/>
  <c r="E152"/>
  <c r="E191"/>
  <c r="E253"/>
  <c r="E254"/>
  <c r="D197"/>
  <c r="D198"/>
  <c r="D199"/>
  <c r="D200"/>
  <c r="D201"/>
  <c r="D202"/>
  <c r="D203"/>
  <c r="D204"/>
  <c r="D206"/>
  <c r="D207"/>
  <c r="D208"/>
  <c r="D209"/>
  <c r="D210"/>
  <c r="D211"/>
  <c r="D212"/>
  <c r="D213"/>
  <c r="D215"/>
  <c r="D216"/>
  <c r="D217"/>
  <c r="D245"/>
  <c r="D246"/>
  <c r="D247"/>
  <c r="D250"/>
  <c r="D251"/>
  <c r="D221"/>
  <c r="D222"/>
  <c r="D223"/>
  <c r="D224"/>
  <c r="D225"/>
  <c r="D226"/>
  <c r="D227"/>
  <c r="D228"/>
  <c r="D229"/>
  <c r="D230"/>
  <c r="D231"/>
  <c r="D232"/>
  <c r="D233"/>
  <c r="D234"/>
  <c r="D235"/>
  <c r="D236"/>
  <c r="D237"/>
  <c r="D238"/>
  <c r="D239"/>
  <c r="D240"/>
  <c r="D241"/>
  <c r="D242"/>
  <c r="D205"/>
  <c r="D214"/>
  <c r="D218"/>
  <c r="D219"/>
  <c r="D243"/>
  <c r="E14" i="61"/>
  <c r="F5"/>
  <c r="E259" i="53"/>
  <c r="E260"/>
  <c r="E262"/>
  <c r="E265"/>
  <c r="E266"/>
  <c r="E267"/>
  <c r="E268"/>
  <c r="E273"/>
  <c r="E274"/>
  <c r="E276"/>
  <c r="D130"/>
  <c r="D131"/>
  <c r="D132"/>
  <c r="D133"/>
  <c r="D134"/>
  <c r="D135"/>
  <c r="D136"/>
  <c r="D137"/>
  <c r="D139"/>
  <c r="D140"/>
  <c r="D141"/>
  <c r="D142"/>
  <c r="D143"/>
  <c r="D144"/>
  <c r="D145"/>
  <c r="D146"/>
  <c r="D148"/>
  <c r="D149"/>
  <c r="D150"/>
  <c r="D182"/>
  <c r="D183"/>
  <c r="D184"/>
  <c r="D187"/>
  <c r="D188"/>
  <c r="D154"/>
  <c r="D155"/>
  <c r="D156"/>
  <c r="D157"/>
  <c r="D158"/>
  <c r="D159"/>
  <c r="D160"/>
  <c r="D161"/>
  <c r="D162"/>
  <c r="D163"/>
  <c r="D164"/>
  <c r="D165"/>
  <c r="D166"/>
  <c r="D167"/>
  <c r="D168"/>
  <c r="D169"/>
  <c r="D170"/>
  <c r="D171"/>
  <c r="D172"/>
  <c r="D173"/>
  <c r="D174"/>
  <c r="D175"/>
  <c r="D176"/>
  <c r="D177"/>
  <c r="D178"/>
  <c r="D151"/>
  <c r="D152"/>
  <c r="D191"/>
  <c r="D253"/>
  <c r="D254"/>
  <c r="D260"/>
  <c r="D262"/>
  <c r="D265"/>
  <c r="D266"/>
  <c r="D267"/>
  <c r="D268"/>
  <c r="D273"/>
  <c r="D274"/>
  <c r="D276"/>
  <c r="A251"/>
  <c r="A250"/>
  <c r="A249"/>
  <c r="A247"/>
  <c r="A246"/>
  <c r="A245"/>
  <c r="A244"/>
  <c r="A179"/>
  <c r="A243"/>
  <c r="A126" i="83"/>
  <c r="A57" i="53"/>
  <c r="A178"/>
  <c r="A242"/>
  <c r="A125" i="83"/>
  <c r="A56" i="53"/>
  <c r="A177"/>
  <c r="A241"/>
  <c r="A124" i="83"/>
  <c r="A55" i="53"/>
  <c r="A176"/>
  <c r="A240"/>
  <c r="A123" i="83"/>
  <c r="A54" i="53"/>
  <c r="A175"/>
  <c r="A239"/>
  <c r="A119" i="83"/>
  <c r="A50" i="53"/>
  <c r="A171"/>
  <c r="A238"/>
  <c r="A118" i="83"/>
  <c r="A49" i="53"/>
  <c r="A170"/>
  <c r="A237"/>
  <c r="A117" i="83"/>
  <c r="A48" i="53"/>
  <c r="A169"/>
  <c r="A236"/>
  <c r="A116" i="83"/>
  <c r="A47" i="53"/>
  <c r="A168"/>
  <c r="A235"/>
  <c r="A115" i="83"/>
  <c r="A46" i="53"/>
  <c r="A167"/>
  <c r="A234"/>
  <c r="A114" i="83"/>
  <c r="A45" i="53"/>
  <c r="A166"/>
  <c r="A233"/>
  <c r="A113" i="83"/>
  <c r="A44" i="53"/>
  <c r="A165"/>
  <c r="A232"/>
  <c r="A112" i="83"/>
  <c r="A43" i="53"/>
  <c r="A164"/>
  <c r="A231"/>
  <c r="A111" i="83"/>
  <c r="A42" i="53"/>
  <c r="A163"/>
  <c r="A230"/>
  <c r="A110" i="83"/>
  <c r="A41" i="53"/>
  <c r="A162"/>
  <c r="A229"/>
  <c r="A109" i="83"/>
  <c r="A40" i="53"/>
  <c r="A161"/>
  <c r="A228"/>
  <c r="A108" i="83"/>
  <c r="A39" i="53"/>
  <c r="A160"/>
  <c r="A227"/>
  <c r="A107" i="83"/>
  <c r="A38" i="53"/>
  <c r="A159"/>
  <c r="A226"/>
  <c r="A106" i="83"/>
  <c r="A37" i="53"/>
  <c r="A158"/>
  <c r="A225"/>
  <c r="A105" i="83"/>
  <c r="A36" i="53"/>
  <c r="A157"/>
  <c r="A224"/>
  <c r="A104" i="83"/>
  <c r="A35" i="53"/>
  <c r="A156"/>
  <c r="A223"/>
  <c r="A103" i="83"/>
  <c r="A34" i="53"/>
  <c r="A155"/>
  <c r="A222"/>
  <c r="A102" i="83"/>
  <c r="A33" i="53"/>
  <c r="A154"/>
  <c r="A221"/>
  <c r="A32"/>
  <c r="A153"/>
  <c r="A220"/>
  <c r="A31"/>
  <c r="A152"/>
  <c r="A219"/>
  <c r="A62" i="81"/>
  <c r="A87"/>
  <c r="A112"/>
  <c r="A30" i="53"/>
  <c r="A151"/>
  <c r="A218"/>
  <c r="A61" i="81"/>
  <c r="A86"/>
  <c r="A111"/>
  <c r="A29" i="53"/>
  <c r="A150"/>
  <c r="A217"/>
  <c r="A60" i="81"/>
  <c r="A85"/>
  <c r="A110"/>
  <c r="A28" i="53"/>
  <c r="A149"/>
  <c r="A216"/>
  <c r="A59" i="81"/>
  <c r="A84"/>
  <c r="A109"/>
  <c r="A27" i="53"/>
  <c r="A148"/>
  <c r="A215"/>
  <c r="A26"/>
  <c r="A147"/>
  <c r="A214"/>
  <c r="A58" i="81"/>
  <c r="A83"/>
  <c r="A108"/>
  <c r="A25" i="53"/>
  <c r="A146"/>
  <c r="A213"/>
  <c r="A57" i="81"/>
  <c r="A82"/>
  <c r="A107"/>
  <c r="A24" i="53"/>
  <c r="A145"/>
  <c r="A212"/>
  <c r="A56" i="81"/>
  <c r="A81"/>
  <c r="A106"/>
  <c r="A23" i="53"/>
  <c r="A144"/>
  <c r="A211"/>
  <c r="A55" i="81"/>
  <c r="A80"/>
  <c r="A105"/>
  <c r="A22" i="53"/>
  <c r="A143"/>
  <c r="A210"/>
  <c r="A54" i="81"/>
  <c r="A79"/>
  <c r="A104"/>
  <c r="A21" i="53"/>
  <c r="A142"/>
  <c r="A209"/>
  <c r="A53" i="81"/>
  <c r="A78"/>
  <c r="A103"/>
  <c r="A20" i="53"/>
  <c r="A141"/>
  <c r="A208"/>
  <c r="A52" i="81"/>
  <c r="A77"/>
  <c r="A102"/>
  <c r="A19" i="53"/>
  <c r="A140"/>
  <c r="A207"/>
  <c r="A51" i="81"/>
  <c r="A76"/>
  <c r="A101"/>
  <c r="A18" i="53"/>
  <c r="A139"/>
  <c r="A206"/>
  <c r="A138"/>
  <c r="A205"/>
  <c r="A49" i="81"/>
  <c r="A74"/>
  <c r="A99"/>
  <c r="A16" i="53"/>
  <c r="A137"/>
  <c r="A204"/>
  <c r="A48" i="81"/>
  <c r="A73"/>
  <c r="A98"/>
  <c r="A15" i="53"/>
  <c r="A136"/>
  <c r="A203"/>
  <c r="A47" i="81"/>
  <c r="A72"/>
  <c r="A97"/>
  <c r="A14" i="53"/>
  <c r="A135"/>
  <c r="A202"/>
  <c r="A46" i="81"/>
  <c r="A71"/>
  <c r="A96"/>
  <c r="A13" i="53"/>
  <c r="A134"/>
  <c r="A201"/>
  <c r="A45" i="81"/>
  <c r="A70"/>
  <c r="A95"/>
  <c r="A12" i="53"/>
  <c r="A133"/>
  <c r="A200"/>
  <c r="A44" i="81"/>
  <c r="A69"/>
  <c r="A94"/>
  <c r="A11" i="53"/>
  <c r="A132"/>
  <c r="A199"/>
  <c r="A43" i="81"/>
  <c r="A68"/>
  <c r="A93"/>
  <c r="A10" i="53"/>
  <c r="A131"/>
  <c r="A198"/>
  <c r="A42" i="81"/>
  <c r="A67"/>
  <c r="A92"/>
  <c r="A9" i="53"/>
  <c r="A130"/>
  <c r="A197"/>
  <c r="A195"/>
  <c r="A122" i="83"/>
  <c r="A53" i="53"/>
  <c r="A174"/>
  <c r="A121" i="83"/>
  <c r="A52" i="53"/>
  <c r="A173"/>
  <c r="A120" i="83"/>
  <c r="A51" i="53"/>
  <c r="A172"/>
  <c r="A129"/>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F8" i="48"/>
  <c r="H8"/>
  <c r="C28"/>
  <c r="D28"/>
  <c r="F23"/>
  <c r="G23"/>
  <c r="H23"/>
  <c r="I23"/>
  <c r="J23"/>
  <c r="K23"/>
  <c r="K28"/>
  <c r="F9"/>
  <c r="H9"/>
  <c r="C29"/>
  <c r="D29"/>
  <c r="K29"/>
  <c r="F10"/>
  <c r="H10"/>
  <c r="C30"/>
  <c r="D30"/>
  <c r="K30"/>
  <c r="F11"/>
  <c r="H11"/>
  <c r="C31"/>
  <c r="D31"/>
  <c r="K31"/>
  <c r="F12"/>
  <c r="H12"/>
  <c r="C32"/>
  <c r="D32"/>
  <c r="K32"/>
  <c r="C33"/>
  <c r="D33"/>
  <c r="K33"/>
  <c r="C34"/>
  <c r="D34"/>
  <c r="K34"/>
  <c r="C35"/>
  <c r="D35"/>
  <c r="K35"/>
  <c r="C36"/>
  <c r="D36"/>
  <c r="K36"/>
  <c r="C37"/>
  <c r="D37"/>
  <c r="K37"/>
  <c r="C38"/>
  <c r="D38"/>
  <c r="K38"/>
  <c r="K39"/>
  <c r="J8"/>
  <c r="J9"/>
  <c r="J10"/>
  <c r="J11"/>
  <c r="J12"/>
  <c r="J13"/>
  <c r="J14"/>
  <c r="J15"/>
  <c r="J16"/>
  <c r="J17"/>
  <c r="C43"/>
  <c r="K43"/>
  <c r="M8"/>
  <c r="M9"/>
  <c r="M10"/>
  <c r="M11"/>
  <c r="M12"/>
  <c r="M13"/>
  <c r="M14"/>
  <c r="M15"/>
  <c r="M16"/>
  <c r="M17"/>
  <c r="C44"/>
  <c r="K44"/>
  <c r="K49"/>
  <c r="K52"/>
  <c r="K56"/>
  <c r="K57"/>
  <c r="K59"/>
  <c r="J28"/>
  <c r="J29"/>
  <c r="J30"/>
  <c r="J31"/>
  <c r="J32"/>
  <c r="J33"/>
  <c r="J34"/>
  <c r="J35"/>
  <c r="J36"/>
  <c r="J37"/>
  <c r="J38"/>
  <c r="J39"/>
  <c r="J43"/>
  <c r="J44"/>
  <c r="J49"/>
  <c r="J52"/>
  <c r="J56"/>
  <c r="J57"/>
  <c r="J59"/>
  <c r="I28"/>
  <c r="I29"/>
  <c r="I30"/>
  <c r="I31"/>
  <c r="I32"/>
  <c r="I33"/>
  <c r="I34"/>
  <c r="I35"/>
  <c r="I36"/>
  <c r="I37"/>
  <c r="I38"/>
  <c r="I39"/>
  <c r="I43"/>
  <c r="I44"/>
  <c r="I49"/>
  <c r="I52"/>
  <c r="I56"/>
  <c r="I57"/>
  <c r="I59"/>
  <c r="H28"/>
  <c r="H29"/>
  <c r="H30"/>
  <c r="H31"/>
  <c r="H32"/>
  <c r="H33"/>
  <c r="H34"/>
  <c r="H35"/>
  <c r="H36"/>
  <c r="H37"/>
  <c r="H38"/>
  <c r="H39"/>
  <c r="H43"/>
  <c r="H44"/>
  <c r="H49"/>
  <c r="H52"/>
  <c r="H56"/>
  <c r="H57"/>
  <c r="H59"/>
  <c r="G28"/>
  <c r="G29"/>
  <c r="G30"/>
  <c r="G31"/>
  <c r="G32"/>
  <c r="G33"/>
  <c r="G34"/>
  <c r="G35"/>
  <c r="G36"/>
  <c r="G37"/>
  <c r="G38"/>
  <c r="G39"/>
  <c r="G43"/>
  <c r="G44"/>
  <c r="G49"/>
  <c r="G52"/>
  <c r="G56"/>
  <c r="G57"/>
  <c r="G59"/>
  <c r="F28"/>
  <c r="F29"/>
  <c r="F30"/>
  <c r="F31"/>
  <c r="F32"/>
  <c r="F33"/>
  <c r="F34"/>
  <c r="F35"/>
  <c r="F36"/>
  <c r="F37"/>
  <c r="F38"/>
  <c r="F39"/>
  <c r="F43"/>
  <c r="F44"/>
  <c r="F49"/>
  <c r="F52"/>
  <c r="F56"/>
  <c r="F57"/>
  <c r="F59"/>
  <c r="E28"/>
  <c r="E29"/>
  <c r="E30"/>
  <c r="E31"/>
  <c r="E32"/>
  <c r="E33"/>
  <c r="E34"/>
  <c r="E35"/>
  <c r="E36"/>
  <c r="E37"/>
  <c r="E38"/>
  <c r="E39"/>
  <c r="E43"/>
  <c r="E44"/>
  <c r="E49"/>
  <c r="E52"/>
  <c r="E56"/>
  <c r="E57"/>
  <c r="E59"/>
  <c r="A32"/>
  <c r="A31"/>
  <c r="A30"/>
  <c r="A29"/>
  <c r="A28"/>
  <c r="F17"/>
  <c r="F16"/>
  <c r="F15"/>
  <c r="F14"/>
  <c r="F13"/>
  <c r="C9" i="42"/>
  <c r="D9"/>
  <c r="E9"/>
  <c r="F9"/>
  <c r="G9"/>
  <c r="H9"/>
  <c r="H10"/>
  <c r="E17"/>
  <c r="F17"/>
  <c r="G17"/>
  <c r="H17"/>
  <c r="I17"/>
  <c r="J17"/>
  <c r="J21"/>
  <c r="J23"/>
  <c r="J27"/>
  <c r="J28"/>
  <c r="J29"/>
  <c r="J34"/>
  <c r="J37"/>
  <c r="J43"/>
  <c r="J45"/>
  <c r="J47"/>
  <c r="G10"/>
  <c r="I21"/>
  <c r="I23"/>
  <c r="I27"/>
  <c r="I28"/>
  <c r="I29"/>
  <c r="I34"/>
  <c r="I37"/>
  <c r="I43"/>
  <c r="I45"/>
  <c r="I47"/>
  <c r="F10"/>
  <c r="H21"/>
  <c r="H23"/>
  <c r="H27"/>
  <c r="H28"/>
  <c r="H29"/>
  <c r="H34"/>
  <c r="H37"/>
  <c r="H43"/>
  <c r="H45"/>
  <c r="H47"/>
  <c r="E10"/>
  <c r="G21"/>
  <c r="G23"/>
  <c r="G27"/>
  <c r="G28"/>
  <c r="G29"/>
  <c r="G34"/>
  <c r="G37"/>
  <c r="G43"/>
  <c r="G45"/>
  <c r="G47"/>
  <c r="D10"/>
  <c r="F21"/>
  <c r="F23"/>
  <c r="F27"/>
  <c r="F28"/>
  <c r="F29"/>
  <c r="F34"/>
  <c r="F37"/>
  <c r="F43"/>
  <c r="F45"/>
  <c r="F47"/>
  <c r="C10"/>
  <c r="E21"/>
  <c r="E23"/>
  <c r="E27"/>
  <c r="E28"/>
  <c r="E29"/>
  <c r="E34"/>
  <c r="E37"/>
  <c r="E43"/>
  <c r="E45"/>
  <c r="E47"/>
  <c r="B10"/>
  <c r="D21"/>
  <c r="D23"/>
  <c r="D27"/>
  <c r="D28"/>
  <c r="D29"/>
  <c r="D34"/>
  <c r="D37"/>
  <c r="D43"/>
  <c r="D45"/>
  <c r="D47"/>
  <c r="B77" i="81"/>
  <c r="C65"/>
  <c r="C77"/>
  <c r="D65"/>
  <c r="D77"/>
  <c r="E65"/>
  <c r="E77"/>
  <c r="F65"/>
  <c r="F77"/>
  <c r="G65"/>
  <c r="G77"/>
  <c r="H65"/>
  <c r="H77"/>
  <c r="H23" i="72"/>
  <c r="D33"/>
  <c r="E33"/>
  <c r="F33"/>
  <c r="G33"/>
  <c r="H33"/>
  <c r="H34"/>
  <c r="H47"/>
  <c r="H95"/>
  <c r="G23"/>
  <c r="G34"/>
  <c r="G47"/>
  <c r="G95"/>
  <c r="E133"/>
  <c r="F133"/>
  <c r="G133"/>
  <c r="H133"/>
  <c r="I133"/>
  <c r="J133"/>
  <c r="J139"/>
  <c r="B68" i="81"/>
  <c r="C68"/>
  <c r="D68"/>
  <c r="E68"/>
  <c r="F68"/>
  <c r="G68"/>
  <c r="H68"/>
  <c r="H14" i="72"/>
  <c r="H38"/>
  <c r="H63"/>
  <c r="G14"/>
  <c r="G38"/>
  <c r="G63"/>
  <c r="J140"/>
  <c r="B72" i="81"/>
  <c r="C72"/>
  <c r="D72"/>
  <c r="E72"/>
  <c r="F72"/>
  <c r="G72"/>
  <c r="H72"/>
  <c r="H18" i="72"/>
  <c r="H42"/>
  <c r="H78"/>
  <c r="G18"/>
  <c r="G42"/>
  <c r="G78"/>
  <c r="J141"/>
  <c r="B70" i="81"/>
  <c r="C70"/>
  <c r="D70"/>
  <c r="E70"/>
  <c r="F70"/>
  <c r="G70"/>
  <c r="H70"/>
  <c r="H16" i="72"/>
  <c r="H40"/>
  <c r="H70"/>
  <c r="G16"/>
  <c r="G40"/>
  <c r="G70"/>
  <c r="J142"/>
  <c r="J147"/>
  <c r="B67" i="81"/>
  <c r="C67"/>
  <c r="D67"/>
  <c r="E67"/>
  <c r="F67"/>
  <c r="G67"/>
  <c r="H67"/>
  <c r="H13" i="72"/>
  <c r="B69" i="81"/>
  <c r="C69"/>
  <c r="D69"/>
  <c r="E69"/>
  <c r="F69"/>
  <c r="G69"/>
  <c r="H69"/>
  <c r="H15" i="72"/>
  <c r="B71" i="81"/>
  <c r="C71"/>
  <c r="D71"/>
  <c r="E71"/>
  <c r="F71"/>
  <c r="G71"/>
  <c r="H71"/>
  <c r="H17" i="72"/>
  <c r="B73" i="81"/>
  <c r="C73"/>
  <c r="D73"/>
  <c r="E73"/>
  <c r="F73"/>
  <c r="G73"/>
  <c r="H73"/>
  <c r="H19" i="72"/>
  <c r="B74" i="81"/>
  <c r="C74"/>
  <c r="D74"/>
  <c r="E74"/>
  <c r="F74"/>
  <c r="G74"/>
  <c r="H74"/>
  <c r="H20" i="72"/>
  <c r="B75" i="81"/>
  <c r="C75"/>
  <c r="D75"/>
  <c r="E75"/>
  <c r="F75"/>
  <c r="G75"/>
  <c r="H75"/>
  <c r="H21" i="72"/>
  <c r="B76" i="81"/>
  <c r="C76"/>
  <c r="D76"/>
  <c r="E76"/>
  <c r="F76"/>
  <c r="G76"/>
  <c r="H76"/>
  <c r="H22" i="72"/>
  <c r="B78" i="81"/>
  <c r="C78"/>
  <c r="D78"/>
  <c r="E78"/>
  <c r="F78"/>
  <c r="G78"/>
  <c r="H78"/>
  <c r="H24" i="72"/>
  <c r="B79" i="81"/>
  <c r="C79"/>
  <c r="D79"/>
  <c r="E79"/>
  <c r="F79"/>
  <c r="G79"/>
  <c r="H79"/>
  <c r="H25" i="72"/>
  <c r="B80" i="81"/>
  <c r="C80"/>
  <c r="D80"/>
  <c r="E80"/>
  <c r="F80"/>
  <c r="G80"/>
  <c r="H80"/>
  <c r="H26" i="72"/>
  <c r="B81" i="81"/>
  <c r="C81"/>
  <c r="D81"/>
  <c r="E81"/>
  <c r="F81"/>
  <c r="G81"/>
  <c r="H81"/>
  <c r="H27" i="72"/>
  <c r="B82" i="81"/>
  <c r="C82"/>
  <c r="D82"/>
  <c r="E82"/>
  <c r="F82"/>
  <c r="G82"/>
  <c r="H82"/>
  <c r="H28" i="72"/>
  <c r="B83" i="81"/>
  <c r="C83"/>
  <c r="D83"/>
  <c r="E83"/>
  <c r="F83"/>
  <c r="G83"/>
  <c r="H83"/>
  <c r="H29" i="72"/>
  <c r="B84" i="81"/>
  <c r="C84"/>
  <c r="D84"/>
  <c r="E84"/>
  <c r="F84"/>
  <c r="G84"/>
  <c r="H84"/>
  <c r="H30" i="72"/>
  <c r="B85" i="81"/>
  <c r="C85"/>
  <c r="D85"/>
  <c r="E85"/>
  <c r="F85"/>
  <c r="G85"/>
  <c r="H85"/>
  <c r="H31" i="72"/>
  <c r="H32"/>
  <c r="H35"/>
  <c r="J149"/>
  <c r="J151"/>
  <c r="J155"/>
  <c r="J156"/>
  <c r="J157"/>
  <c r="J158"/>
  <c r="J159"/>
  <c r="H12"/>
  <c r="J160"/>
  <c r="H47" i="57"/>
  <c r="B161" i="72"/>
  <c r="J161"/>
  <c r="J162"/>
  <c r="J163"/>
  <c r="J164"/>
  <c r="I155"/>
  <c r="I156"/>
  <c r="I157"/>
  <c r="I158"/>
  <c r="G13"/>
  <c r="G15"/>
  <c r="G17"/>
  <c r="G19"/>
  <c r="G20"/>
  <c r="G21"/>
  <c r="G22"/>
  <c r="G24"/>
  <c r="G25"/>
  <c r="G26"/>
  <c r="G27"/>
  <c r="G28"/>
  <c r="G29"/>
  <c r="G30"/>
  <c r="G31"/>
  <c r="G32"/>
  <c r="I159"/>
  <c r="G12"/>
  <c r="I160"/>
  <c r="I161"/>
  <c r="G35"/>
  <c r="I162"/>
  <c r="I163"/>
  <c r="J16" i="61"/>
  <c r="K7"/>
  <c r="J169" i="72"/>
  <c r="K16" i="61"/>
  <c r="J170" i="72"/>
  <c r="J172"/>
  <c r="J175"/>
  <c r="J180"/>
  <c r="J181"/>
  <c r="J183"/>
  <c r="F23"/>
  <c r="F34"/>
  <c r="F47"/>
  <c r="F95"/>
  <c r="I139"/>
  <c r="F14"/>
  <c r="F38"/>
  <c r="F63"/>
  <c r="I140"/>
  <c r="F18"/>
  <c r="F42"/>
  <c r="F78"/>
  <c r="I141"/>
  <c r="F16"/>
  <c r="F40"/>
  <c r="F70"/>
  <c r="I142"/>
  <c r="I147"/>
  <c r="I149"/>
  <c r="I151"/>
  <c r="I164"/>
  <c r="H155"/>
  <c r="H156"/>
  <c r="H157"/>
  <c r="H158"/>
  <c r="F13"/>
  <c r="F15"/>
  <c r="F17"/>
  <c r="F19"/>
  <c r="F20"/>
  <c r="F21"/>
  <c r="F22"/>
  <c r="F24"/>
  <c r="F25"/>
  <c r="F26"/>
  <c r="F27"/>
  <c r="F28"/>
  <c r="F29"/>
  <c r="F30"/>
  <c r="F31"/>
  <c r="F32"/>
  <c r="H159"/>
  <c r="F12"/>
  <c r="H160"/>
  <c r="H161"/>
  <c r="F35"/>
  <c r="H162"/>
  <c r="H163"/>
  <c r="I16" i="61"/>
  <c r="J7"/>
  <c r="I169" i="72"/>
  <c r="I170"/>
  <c r="I172"/>
  <c r="I175"/>
  <c r="I180"/>
  <c r="I181"/>
  <c r="I183"/>
  <c r="E23"/>
  <c r="E34"/>
  <c r="E47"/>
  <c r="E95"/>
  <c r="H139"/>
  <c r="E14"/>
  <c r="E38"/>
  <c r="E63"/>
  <c r="H140"/>
  <c r="E18"/>
  <c r="E42"/>
  <c r="E78"/>
  <c r="H141"/>
  <c r="E16"/>
  <c r="E40"/>
  <c r="E70"/>
  <c r="H142"/>
  <c r="H147"/>
  <c r="H149"/>
  <c r="H151"/>
  <c r="H164"/>
  <c r="G155"/>
  <c r="G156"/>
  <c r="G157"/>
  <c r="G158"/>
  <c r="E13"/>
  <c r="E15"/>
  <c r="E17"/>
  <c r="E19"/>
  <c r="E20"/>
  <c r="E21"/>
  <c r="E22"/>
  <c r="E24"/>
  <c r="E25"/>
  <c r="E26"/>
  <c r="E27"/>
  <c r="E28"/>
  <c r="E29"/>
  <c r="E30"/>
  <c r="E31"/>
  <c r="E32"/>
  <c r="G159"/>
  <c r="E12"/>
  <c r="G160"/>
  <c r="G161"/>
  <c r="E35"/>
  <c r="G162"/>
  <c r="G163"/>
  <c r="H16" i="61"/>
  <c r="I7"/>
  <c r="H169" i="72"/>
  <c r="H170"/>
  <c r="H172"/>
  <c r="H175"/>
  <c r="H180"/>
  <c r="H181"/>
  <c r="H183"/>
  <c r="D23"/>
  <c r="D34"/>
  <c r="D47"/>
  <c r="D95"/>
  <c r="G139"/>
  <c r="D14"/>
  <c r="D38"/>
  <c r="D63"/>
  <c r="G140"/>
  <c r="D18"/>
  <c r="D42"/>
  <c r="D78"/>
  <c r="G141"/>
  <c r="D16"/>
  <c r="D40"/>
  <c r="D70"/>
  <c r="G142"/>
  <c r="G147"/>
  <c r="G149"/>
  <c r="G151"/>
  <c r="G164"/>
  <c r="F155"/>
  <c r="F156"/>
  <c r="F157"/>
  <c r="F158"/>
  <c r="D13"/>
  <c r="D15"/>
  <c r="D17"/>
  <c r="D19"/>
  <c r="D20"/>
  <c r="D21"/>
  <c r="D22"/>
  <c r="D24"/>
  <c r="D25"/>
  <c r="D26"/>
  <c r="D27"/>
  <c r="D28"/>
  <c r="D29"/>
  <c r="D30"/>
  <c r="D31"/>
  <c r="D32"/>
  <c r="F159"/>
  <c r="D12"/>
  <c r="F160"/>
  <c r="F161"/>
  <c r="D35"/>
  <c r="F162"/>
  <c r="F163"/>
  <c r="G16" i="61"/>
  <c r="H7"/>
  <c r="G169" i="72"/>
  <c r="G170"/>
  <c r="G172"/>
  <c r="G175"/>
  <c r="G180"/>
  <c r="G181"/>
  <c r="G183"/>
  <c r="C23"/>
  <c r="C34"/>
  <c r="C47"/>
  <c r="C95"/>
  <c r="F139"/>
  <c r="C14"/>
  <c r="C38"/>
  <c r="C63"/>
  <c r="F140"/>
  <c r="C18"/>
  <c r="C42"/>
  <c r="C78"/>
  <c r="F141"/>
  <c r="C16"/>
  <c r="C40"/>
  <c r="C70"/>
  <c r="F142"/>
  <c r="F147"/>
  <c r="F149"/>
  <c r="F151"/>
  <c r="F164"/>
  <c r="E155"/>
  <c r="E156"/>
  <c r="E157"/>
  <c r="E158"/>
  <c r="C13"/>
  <c r="C15"/>
  <c r="C17"/>
  <c r="C19"/>
  <c r="C20"/>
  <c r="C21"/>
  <c r="C22"/>
  <c r="C24"/>
  <c r="C25"/>
  <c r="C26"/>
  <c r="C27"/>
  <c r="C28"/>
  <c r="C29"/>
  <c r="C30"/>
  <c r="C31"/>
  <c r="C32"/>
  <c r="E159"/>
  <c r="C12"/>
  <c r="E160"/>
  <c r="E161"/>
  <c r="C35"/>
  <c r="E162"/>
  <c r="E163"/>
  <c r="F16" i="61"/>
  <c r="G7"/>
  <c r="F169" i="72"/>
  <c r="F170"/>
  <c r="F172"/>
  <c r="F175"/>
  <c r="F180"/>
  <c r="F181"/>
  <c r="F183"/>
  <c r="B23"/>
  <c r="B34"/>
  <c r="B47"/>
  <c r="B95"/>
  <c r="E139"/>
  <c r="B14"/>
  <c r="B38"/>
  <c r="B63"/>
  <c r="E140"/>
  <c r="B18"/>
  <c r="B42"/>
  <c r="B78"/>
  <c r="E141"/>
  <c r="B16"/>
  <c r="B40"/>
  <c r="B70"/>
  <c r="E142"/>
  <c r="E147"/>
  <c r="E149"/>
  <c r="E151"/>
  <c r="E164"/>
  <c r="D155"/>
  <c r="D156"/>
  <c r="D157"/>
  <c r="D158"/>
  <c r="B13"/>
  <c r="B15"/>
  <c r="B17"/>
  <c r="B19"/>
  <c r="B20"/>
  <c r="B21"/>
  <c r="B22"/>
  <c r="B24"/>
  <c r="B25"/>
  <c r="B26"/>
  <c r="B27"/>
  <c r="B28"/>
  <c r="B29"/>
  <c r="B30"/>
  <c r="B31"/>
  <c r="B32"/>
  <c r="D159"/>
  <c r="B12"/>
  <c r="D160"/>
  <c r="D161"/>
  <c r="B35"/>
  <c r="D162"/>
  <c r="D163"/>
  <c r="E16" i="61"/>
  <c r="F7"/>
  <c r="E169" i="72"/>
  <c r="E170"/>
  <c r="E172"/>
  <c r="E175"/>
  <c r="E180"/>
  <c r="E181"/>
  <c r="E183"/>
  <c r="D139"/>
  <c r="D140"/>
  <c r="D141"/>
  <c r="D142"/>
  <c r="D147"/>
  <c r="D149"/>
  <c r="D151"/>
  <c r="D164"/>
  <c r="D170"/>
  <c r="D172"/>
  <c r="D175"/>
  <c r="D180"/>
  <c r="D181"/>
  <c r="D183"/>
  <c r="A14" i="55"/>
  <c r="A71"/>
  <c r="A123"/>
  <c r="A181"/>
  <c r="A142" i="72"/>
  <c r="A158"/>
  <c r="A13" i="55"/>
  <c r="A70"/>
  <c r="A122"/>
  <c r="A180"/>
  <c r="A141" i="72"/>
  <c r="A157"/>
  <c r="A12" i="55"/>
  <c r="A69"/>
  <c r="A121"/>
  <c r="A179"/>
  <c r="A140" i="72"/>
  <c r="A156"/>
  <c r="A11" i="55"/>
  <c r="A68"/>
  <c r="A120"/>
  <c r="A178"/>
  <c r="A139" i="72"/>
  <c r="A155"/>
  <c r="K148"/>
  <c r="A121"/>
  <c r="A31"/>
  <c r="A55"/>
  <c r="A118"/>
  <c r="A30"/>
  <c r="A54"/>
  <c r="A115"/>
  <c r="A29"/>
  <c r="A53"/>
  <c r="A112"/>
  <c r="A28"/>
  <c r="A52"/>
  <c r="A109"/>
  <c r="A27"/>
  <c r="A51"/>
  <c r="A106"/>
  <c r="A26"/>
  <c r="A50"/>
  <c r="A103"/>
  <c r="A25"/>
  <c r="A49"/>
  <c r="A100"/>
  <c r="A24"/>
  <c r="A48"/>
  <c r="A97"/>
  <c r="H96"/>
  <c r="G96"/>
  <c r="F96"/>
  <c r="E96"/>
  <c r="D96"/>
  <c r="C96"/>
  <c r="B96"/>
  <c r="A23"/>
  <c r="A47"/>
  <c r="A94"/>
  <c r="A22"/>
  <c r="A46"/>
  <c r="A91"/>
  <c r="A50" i="81"/>
  <c r="A75"/>
  <c r="A21" i="72"/>
  <c r="A45"/>
  <c r="A87"/>
  <c r="A20"/>
  <c r="A44"/>
  <c r="A83"/>
  <c r="A19"/>
  <c r="A43"/>
  <c r="A80"/>
  <c r="H79"/>
  <c r="G79"/>
  <c r="F79"/>
  <c r="E79"/>
  <c r="D79"/>
  <c r="C79"/>
  <c r="B79"/>
  <c r="A18"/>
  <c r="A42"/>
  <c r="A77"/>
  <c r="A17"/>
  <c r="A41"/>
  <c r="A72"/>
  <c r="H71"/>
  <c r="G71"/>
  <c r="F71"/>
  <c r="E71"/>
  <c r="D71"/>
  <c r="C71"/>
  <c r="B71"/>
  <c r="A16"/>
  <c r="A40"/>
  <c r="A69"/>
  <c r="A15"/>
  <c r="A39"/>
  <c r="A65"/>
  <c r="H64"/>
  <c r="G64"/>
  <c r="F64"/>
  <c r="E64"/>
  <c r="D64"/>
  <c r="C64"/>
  <c r="B64"/>
  <c r="A14"/>
  <c r="A38"/>
  <c r="A62"/>
  <c r="A13"/>
  <c r="A37"/>
  <c r="A58"/>
  <c r="H55"/>
  <c r="G55"/>
  <c r="F55"/>
  <c r="E55"/>
  <c r="D55"/>
  <c r="C55"/>
  <c r="B55"/>
  <c r="H54"/>
  <c r="G54"/>
  <c r="F54"/>
  <c r="E54"/>
  <c r="D54"/>
  <c r="C54"/>
  <c r="B54"/>
  <c r="H53"/>
  <c r="G53"/>
  <c r="F53"/>
  <c r="E53"/>
  <c r="D53"/>
  <c r="C53"/>
  <c r="B53"/>
  <c r="H52"/>
  <c r="G52"/>
  <c r="F52"/>
  <c r="E52"/>
  <c r="D52"/>
  <c r="C52"/>
  <c r="B52"/>
  <c r="H51"/>
  <c r="G51"/>
  <c r="F51"/>
  <c r="E51"/>
  <c r="D51"/>
  <c r="C51"/>
  <c r="B51"/>
  <c r="H50"/>
  <c r="G50"/>
  <c r="F50"/>
  <c r="E50"/>
  <c r="D50"/>
  <c r="C50"/>
  <c r="B50"/>
  <c r="H49"/>
  <c r="G49"/>
  <c r="F49"/>
  <c r="E49"/>
  <c r="D49"/>
  <c r="C49"/>
  <c r="B49"/>
  <c r="H48"/>
  <c r="G48"/>
  <c r="F48"/>
  <c r="E48"/>
  <c r="D48"/>
  <c r="C48"/>
  <c r="B48"/>
  <c r="H46"/>
  <c r="G46"/>
  <c r="F46"/>
  <c r="E46"/>
  <c r="D46"/>
  <c r="C46"/>
  <c r="B46"/>
  <c r="H45"/>
  <c r="G45"/>
  <c r="F45"/>
  <c r="E45"/>
  <c r="D45"/>
  <c r="C45"/>
  <c r="B45"/>
  <c r="H44"/>
  <c r="G44"/>
  <c r="F44"/>
  <c r="E44"/>
  <c r="D44"/>
  <c r="C44"/>
  <c r="B44"/>
  <c r="H43"/>
  <c r="G43"/>
  <c r="F43"/>
  <c r="E43"/>
  <c r="D43"/>
  <c r="C43"/>
  <c r="B43"/>
  <c r="H41"/>
  <c r="G41"/>
  <c r="F41"/>
  <c r="E41"/>
  <c r="D41"/>
  <c r="C41"/>
  <c r="B41"/>
  <c r="H39"/>
  <c r="G39"/>
  <c r="F39"/>
  <c r="E39"/>
  <c r="D39"/>
  <c r="C39"/>
  <c r="B39"/>
  <c r="H37"/>
  <c r="G37"/>
  <c r="F37"/>
  <c r="E37"/>
  <c r="D37"/>
  <c r="C37"/>
  <c r="B37"/>
  <c r="C40" i="81"/>
  <c r="C42"/>
  <c r="D40"/>
  <c r="D42"/>
  <c r="E40"/>
  <c r="E42"/>
  <c r="F40"/>
  <c r="F42"/>
  <c r="G40"/>
  <c r="G42"/>
  <c r="H40"/>
  <c r="H42"/>
  <c r="H11" i="55"/>
  <c r="H63"/>
  <c r="H68"/>
  <c r="H120"/>
  <c r="G11"/>
  <c r="G63"/>
  <c r="G68"/>
  <c r="G120"/>
  <c r="E172"/>
  <c r="F172"/>
  <c r="G172"/>
  <c r="H172"/>
  <c r="I172"/>
  <c r="J172"/>
  <c r="J178"/>
  <c r="C43" i="81"/>
  <c r="D43"/>
  <c r="E43"/>
  <c r="F43"/>
  <c r="G43"/>
  <c r="H43"/>
  <c r="H12" i="55"/>
  <c r="H69"/>
  <c r="H121"/>
  <c r="G12"/>
  <c r="G69"/>
  <c r="G121"/>
  <c r="J179"/>
  <c r="C44" i="81"/>
  <c r="D44"/>
  <c r="E44"/>
  <c r="F44"/>
  <c r="G44"/>
  <c r="H44"/>
  <c r="H13" i="55"/>
  <c r="H70"/>
  <c r="H122"/>
  <c r="G13"/>
  <c r="G70"/>
  <c r="G122"/>
  <c r="J180"/>
  <c r="C45" i="81"/>
  <c r="D45"/>
  <c r="E45"/>
  <c r="F45"/>
  <c r="G45"/>
  <c r="H45"/>
  <c r="H14" i="55"/>
  <c r="H71"/>
  <c r="H123"/>
  <c r="G14"/>
  <c r="G71"/>
  <c r="G123"/>
  <c r="J181"/>
  <c r="C46" i="81"/>
  <c r="D46"/>
  <c r="E46"/>
  <c r="F46"/>
  <c r="G46"/>
  <c r="H46"/>
  <c r="H15" i="55"/>
  <c r="H72"/>
  <c r="H124"/>
  <c r="G15"/>
  <c r="G72"/>
  <c r="G124"/>
  <c r="J182"/>
  <c r="C47" i="81"/>
  <c r="D47"/>
  <c r="E47"/>
  <c r="F47"/>
  <c r="G47"/>
  <c r="H47"/>
  <c r="H16" i="55"/>
  <c r="H73"/>
  <c r="H125"/>
  <c r="G16"/>
  <c r="G73"/>
  <c r="G125"/>
  <c r="J183"/>
  <c r="C48" i="81"/>
  <c r="D48"/>
  <c r="E48"/>
  <c r="F48"/>
  <c r="G48"/>
  <c r="H48"/>
  <c r="H17" i="55"/>
  <c r="H74"/>
  <c r="H126"/>
  <c r="G17"/>
  <c r="G74"/>
  <c r="G126"/>
  <c r="J184"/>
  <c r="C49" i="81"/>
  <c r="D49"/>
  <c r="E49"/>
  <c r="F49"/>
  <c r="G49"/>
  <c r="H49"/>
  <c r="H18" i="55"/>
  <c r="H75"/>
  <c r="H127"/>
  <c r="G18"/>
  <c r="G75"/>
  <c r="G127"/>
  <c r="J185"/>
  <c r="C50" i="81"/>
  <c r="D50"/>
  <c r="E50"/>
  <c r="F50"/>
  <c r="G50"/>
  <c r="H50"/>
  <c r="H19" i="55"/>
  <c r="H76"/>
  <c r="H128"/>
  <c r="G19"/>
  <c r="G76"/>
  <c r="G128"/>
  <c r="J186"/>
  <c r="C51" i="81"/>
  <c r="D51"/>
  <c r="E51"/>
  <c r="F51"/>
  <c r="G51"/>
  <c r="H51"/>
  <c r="H20" i="55"/>
  <c r="H77"/>
  <c r="H129"/>
  <c r="G20"/>
  <c r="G77"/>
  <c r="G129"/>
  <c r="J187"/>
  <c r="C52" i="81"/>
  <c r="D52"/>
  <c r="E52"/>
  <c r="F52"/>
  <c r="G52"/>
  <c r="H52"/>
  <c r="H21" i="55"/>
  <c r="H78"/>
  <c r="H130"/>
  <c r="G21"/>
  <c r="G78"/>
  <c r="G130"/>
  <c r="J188"/>
  <c r="C53" i="81"/>
  <c r="D53"/>
  <c r="E53"/>
  <c r="F53"/>
  <c r="G53"/>
  <c r="H53"/>
  <c r="H22" i="55"/>
  <c r="H79"/>
  <c r="H131"/>
  <c r="G22"/>
  <c r="G79"/>
  <c r="G131"/>
  <c r="J189"/>
  <c r="C54" i="81"/>
  <c r="D54"/>
  <c r="E54"/>
  <c r="F54"/>
  <c r="G54"/>
  <c r="H54"/>
  <c r="H23" i="55"/>
  <c r="H80"/>
  <c r="H132"/>
  <c r="G23"/>
  <c r="G80"/>
  <c r="G132"/>
  <c r="J190"/>
  <c r="C55" i="81"/>
  <c r="D55"/>
  <c r="E55"/>
  <c r="F55"/>
  <c r="G55"/>
  <c r="H55"/>
  <c r="H24" i="55"/>
  <c r="H81"/>
  <c r="H133"/>
  <c r="G24"/>
  <c r="G81"/>
  <c r="G133"/>
  <c r="J191"/>
  <c r="C56" i="81"/>
  <c r="D56"/>
  <c r="E56"/>
  <c r="F56"/>
  <c r="G56"/>
  <c r="H56"/>
  <c r="H25" i="55"/>
  <c r="H82"/>
  <c r="H134"/>
  <c r="G25"/>
  <c r="G82"/>
  <c r="G134"/>
  <c r="J192"/>
  <c r="C57" i="81"/>
  <c r="D57"/>
  <c r="E57"/>
  <c r="F57"/>
  <c r="G57"/>
  <c r="H57"/>
  <c r="H26" i="55"/>
  <c r="H83"/>
  <c r="H135"/>
  <c r="G26"/>
  <c r="G83"/>
  <c r="G135"/>
  <c r="J193"/>
  <c r="C58" i="81"/>
  <c r="D58"/>
  <c r="E58"/>
  <c r="F58"/>
  <c r="G58"/>
  <c r="H58"/>
  <c r="H27" i="55"/>
  <c r="H84"/>
  <c r="H136"/>
  <c r="G27"/>
  <c r="G84"/>
  <c r="G136"/>
  <c r="J194"/>
  <c r="C59" i="81"/>
  <c r="D59"/>
  <c r="E59"/>
  <c r="F59"/>
  <c r="G59"/>
  <c r="H59"/>
  <c r="H28" i="55"/>
  <c r="H85"/>
  <c r="H137"/>
  <c r="G28"/>
  <c r="G85"/>
  <c r="G137"/>
  <c r="J195"/>
  <c r="C60" i="81"/>
  <c r="D60"/>
  <c r="E60"/>
  <c r="F60"/>
  <c r="G60"/>
  <c r="H60"/>
  <c r="H29" i="55"/>
  <c r="H86"/>
  <c r="H138"/>
  <c r="G29"/>
  <c r="G86"/>
  <c r="G138"/>
  <c r="J196"/>
  <c r="C61" i="81"/>
  <c r="D61"/>
  <c r="E61"/>
  <c r="F61"/>
  <c r="G61"/>
  <c r="H61"/>
  <c r="H30" i="55"/>
  <c r="H87"/>
  <c r="H139"/>
  <c r="G30"/>
  <c r="G87"/>
  <c r="G139"/>
  <c r="J197"/>
  <c r="C62" i="81"/>
  <c r="D62"/>
  <c r="E62"/>
  <c r="F62"/>
  <c r="G62"/>
  <c r="H62"/>
  <c r="H31" i="55"/>
  <c r="H88"/>
  <c r="H140"/>
  <c r="G31"/>
  <c r="G88"/>
  <c r="G140"/>
  <c r="J198"/>
  <c r="H32"/>
  <c r="H33"/>
  <c r="H65"/>
  <c r="J200"/>
  <c r="B46" i="83"/>
  <c r="C44"/>
  <c r="C46"/>
  <c r="D44"/>
  <c r="D46"/>
  <c r="E44"/>
  <c r="E46"/>
  <c r="F44"/>
  <c r="F46"/>
  <c r="G44"/>
  <c r="G46"/>
  <c r="H44"/>
  <c r="H46"/>
  <c r="H35" i="55"/>
  <c r="H92"/>
  <c r="H144"/>
  <c r="G35"/>
  <c r="G92"/>
  <c r="G144"/>
  <c r="J203"/>
  <c r="B47" i="83"/>
  <c r="C47"/>
  <c r="D47"/>
  <c r="E47"/>
  <c r="F47"/>
  <c r="G47"/>
  <c r="H47"/>
  <c r="H36" i="55"/>
  <c r="H93"/>
  <c r="H145"/>
  <c r="G36"/>
  <c r="G93"/>
  <c r="G145"/>
  <c r="J204"/>
  <c r="B48" i="83"/>
  <c r="C48"/>
  <c r="D48"/>
  <c r="E48"/>
  <c r="F48"/>
  <c r="G48"/>
  <c r="H48"/>
  <c r="H37" i="55"/>
  <c r="H94"/>
  <c r="H146"/>
  <c r="G37"/>
  <c r="G94"/>
  <c r="G146"/>
  <c r="J205"/>
  <c r="B49" i="83"/>
  <c r="C49"/>
  <c r="D49"/>
  <c r="E49"/>
  <c r="F49"/>
  <c r="G49"/>
  <c r="H49"/>
  <c r="H38" i="55"/>
  <c r="H95"/>
  <c r="H147"/>
  <c r="G38"/>
  <c r="G95"/>
  <c r="G147"/>
  <c r="J206"/>
  <c r="B50" i="83"/>
  <c r="C50"/>
  <c r="D50"/>
  <c r="E50"/>
  <c r="F50"/>
  <c r="G50"/>
  <c r="H50"/>
  <c r="H39" i="55"/>
  <c r="H96"/>
  <c r="H148"/>
  <c r="G39"/>
  <c r="G96"/>
  <c r="G148"/>
  <c r="J207"/>
  <c r="B51" i="83"/>
  <c r="C51"/>
  <c r="D51"/>
  <c r="E51"/>
  <c r="F51"/>
  <c r="G51"/>
  <c r="H51"/>
  <c r="H40" i="55"/>
  <c r="H97"/>
  <c r="H149"/>
  <c r="G40"/>
  <c r="G97"/>
  <c r="G149"/>
  <c r="J208"/>
  <c r="B52" i="83"/>
  <c r="C52"/>
  <c r="D52"/>
  <c r="E52"/>
  <c r="F52"/>
  <c r="G52"/>
  <c r="H52"/>
  <c r="H41" i="55"/>
  <c r="H98"/>
  <c r="H150"/>
  <c r="G41"/>
  <c r="G98"/>
  <c r="G150"/>
  <c r="J209"/>
  <c r="B53" i="83"/>
  <c r="C53"/>
  <c r="D53"/>
  <c r="E53"/>
  <c r="F53"/>
  <c r="G53"/>
  <c r="H53"/>
  <c r="H42" i="55"/>
  <c r="H99"/>
  <c r="H151"/>
  <c r="G42"/>
  <c r="G99"/>
  <c r="G151"/>
  <c r="J210"/>
  <c r="B54" i="83"/>
  <c r="C54"/>
  <c r="D54"/>
  <c r="E54"/>
  <c r="F54"/>
  <c r="G54"/>
  <c r="H54"/>
  <c r="H43" i="55"/>
  <c r="H100"/>
  <c r="H152"/>
  <c r="G43"/>
  <c r="G100"/>
  <c r="G152"/>
  <c r="J211"/>
  <c r="B55" i="83"/>
  <c r="C55"/>
  <c r="D55"/>
  <c r="E55"/>
  <c r="F55"/>
  <c r="G55"/>
  <c r="H55"/>
  <c r="H44" i="55"/>
  <c r="H101"/>
  <c r="H153"/>
  <c r="G44"/>
  <c r="G101"/>
  <c r="G153"/>
  <c r="J212"/>
  <c r="B56" i="83"/>
  <c r="C56"/>
  <c r="D56"/>
  <c r="E56"/>
  <c r="F56"/>
  <c r="G56"/>
  <c r="H56"/>
  <c r="H45" i="55"/>
  <c r="H102"/>
  <c r="H154"/>
  <c r="G45"/>
  <c r="G102"/>
  <c r="G154"/>
  <c r="J213"/>
  <c r="B57" i="83"/>
  <c r="C57"/>
  <c r="D57"/>
  <c r="E57"/>
  <c r="F57"/>
  <c r="G57"/>
  <c r="H57"/>
  <c r="H46" i="55"/>
  <c r="H103"/>
  <c r="H155"/>
  <c r="G46"/>
  <c r="G103"/>
  <c r="G155"/>
  <c r="J214"/>
  <c r="B58" i="83"/>
  <c r="C58"/>
  <c r="D58"/>
  <c r="E58"/>
  <c r="F58"/>
  <c r="G58"/>
  <c r="H58"/>
  <c r="H47" i="55"/>
  <c r="H104"/>
  <c r="H156"/>
  <c r="G47"/>
  <c r="G104"/>
  <c r="G156"/>
  <c r="J215"/>
  <c r="B59" i="83"/>
  <c r="C59"/>
  <c r="D59"/>
  <c r="E59"/>
  <c r="F59"/>
  <c r="G59"/>
  <c r="H59"/>
  <c r="H48" i="55"/>
  <c r="H105"/>
  <c r="H157"/>
  <c r="G48"/>
  <c r="G105"/>
  <c r="G157"/>
  <c r="J216"/>
  <c r="B60" i="83"/>
  <c r="C60"/>
  <c r="D60"/>
  <c r="E60"/>
  <c r="F60"/>
  <c r="G60"/>
  <c r="H60"/>
  <c r="H49" i="55"/>
  <c r="H106"/>
  <c r="H158"/>
  <c r="G49"/>
  <c r="G106"/>
  <c r="G158"/>
  <c r="J217"/>
  <c r="B61" i="83"/>
  <c r="C61"/>
  <c r="D61"/>
  <c r="E61"/>
  <c r="F61"/>
  <c r="G61"/>
  <c r="H61"/>
  <c r="H50" i="55"/>
  <c r="H107"/>
  <c r="H159"/>
  <c r="G50"/>
  <c r="G107"/>
  <c r="G159"/>
  <c r="J218"/>
  <c r="B62" i="83"/>
  <c r="C62"/>
  <c r="D62"/>
  <c r="E62"/>
  <c r="F62"/>
  <c r="G62"/>
  <c r="H62"/>
  <c r="H51" i="55"/>
  <c r="H108"/>
  <c r="H160"/>
  <c r="G51"/>
  <c r="G108"/>
  <c r="G160"/>
  <c r="J219"/>
  <c r="B63" i="83"/>
  <c r="C63"/>
  <c r="D63"/>
  <c r="E63"/>
  <c r="F63"/>
  <c r="G63"/>
  <c r="H63"/>
  <c r="H52" i="55"/>
  <c r="H109"/>
  <c r="H161"/>
  <c r="G52"/>
  <c r="G109"/>
  <c r="G161"/>
  <c r="J220"/>
  <c r="B67" i="83"/>
  <c r="C67"/>
  <c r="D67"/>
  <c r="E67"/>
  <c r="F67"/>
  <c r="G67"/>
  <c r="H67"/>
  <c r="H56" i="55"/>
  <c r="H113"/>
  <c r="H165"/>
  <c r="G56"/>
  <c r="G113"/>
  <c r="G165"/>
  <c r="J224"/>
  <c r="B68" i="83"/>
  <c r="C68"/>
  <c r="D68"/>
  <c r="E68"/>
  <c r="F68"/>
  <c r="G68"/>
  <c r="H68"/>
  <c r="H57" i="55"/>
  <c r="H114"/>
  <c r="H166"/>
  <c r="G57"/>
  <c r="G114"/>
  <c r="G166"/>
  <c r="J225"/>
  <c r="B69" i="83"/>
  <c r="C69"/>
  <c r="D69"/>
  <c r="E69"/>
  <c r="F69"/>
  <c r="G69"/>
  <c r="H69"/>
  <c r="H58" i="55"/>
  <c r="H115"/>
  <c r="H167"/>
  <c r="G58"/>
  <c r="G115"/>
  <c r="G167"/>
  <c r="J226"/>
  <c r="B70" i="83"/>
  <c r="C70"/>
  <c r="D70"/>
  <c r="E70"/>
  <c r="F70"/>
  <c r="G70"/>
  <c r="H70"/>
  <c r="H59" i="55"/>
  <c r="H116"/>
  <c r="H168"/>
  <c r="G59"/>
  <c r="G116"/>
  <c r="G168"/>
  <c r="J227"/>
  <c r="H89"/>
  <c r="H141"/>
  <c r="G32"/>
  <c r="G89"/>
  <c r="G141"/>
  <c r="J199"/>
  <c r="H162"/>
  <c r="G162"/>
  <c r="J221"/>
  <c r="H163"/>
  <c r="G163"/>
  <c r="J222"/>
  <c r="H164"/>
  <c r="G164"/>
  <c r="J223"/>
  <c r="J229"/>
  <c r="J233"/>
  <c r="J234"/>
  <c r="J235"/>
  <c r="J236"/>
  <c r="J237"/>
  <c r="J238"/>
  <c r="J239"/>
  <c r="C240"/>
  <c r="J240"/>
  <c r="J241"/>
  <c r="C242"/>
  <c r="J242"/>
  <c r="J243"/>
  <c r="J244"/>
  <c r="J245"/>
  <c r="J246"/>
  <c r="J247"/>
  <c r="J248"/>
  <c r="J249"/>
  <c r="J250"/>
  <c r="J251"/>
  <c r="J252"/>
  <c r="J253"/>
  <c r="H10"/>
  <c r="J282"/>
  <c r="H61" i="57"/>
  <c r="B283" i="55"/>
  <c r="J283"/>
  <c r="J284"/>
  <c r="J285"/>
  <c r="I233"/>
  <c r="I234"/>
  <c r="I235"/>
  <c r="I236"/>
  <c r="I237"/>
  <c r="I238"/>
  <c r="I239"/>
  <c r="I240"/>
  <c r="I241"/>
  <c r="I242"/>
  <c r="I243"/>
  <c r="I244"/>
  <c r="I245"/>
  <c r="I246"/>
  <c r="I247"/>
  <c r="I248"/>
  <c r="I249"/>
  <c r="I250"/>
  <c r="I251"/>
  <c r="I252"/>
  <c r="I253"/>
  <c r="G33"/>
  <c r="G10"/>
  <c r="I282"/>
  <c r="I283"/>
  <c r="I284"/>
  <c r="C257"/>
  <c r="I257"/>
  <c r="C258"/>
  <c r="I258"/>
  <c r="I259"/>
  <c r="C260"/>
  <c r="I260"/>
  <c r="C261"/>
  <c r="I261"/>
  <c r="I262"/>
  <c r="I263"/>
  <c r="I264"/>
  <c r="I265"/>
  <c r="I266"/>
  <c r="I267"/>
  <c r="I268"/>
  <c r="I269"/>
  <c r="I270"/>
  <c r="I271"/>
  <c r="I272"/>
  <c r="I273"/>
  <c r="I274"/>
  <c r="I275"/>
  <c r="I276"/>
  <c r="I277"/>
  <c r="I278"/>
  <c r="I254"/>
  <c r="I255"/>
  <c r="I279"/>
  <c r="I280"/>
  <c r="J15" i="61"/>
  <c r="K6"/>
  <c r="J289" i="55"/>
  <c r="J257"/>
  <c r="J258"/>
  <c r="J259"/>
  <c r="J260"/>
  <c r="J261"/>
  <c r="J262"/>
  <c r="J263"/>
  <c r="J264"/>
  <c r="J265"/>
  <c r="J266"/>
  <c r="J267"/>
  <c r="J268"/>
  <c r="J269"/>
  <c r="J270"/>
  <c r="J271"/>
  <c r="J272"/>
  <c r="J273"/>
  <c r="J274"/>
  <c r="J275"/>
  <c r="J276"/>
  <c r="J277"/>
  <c r="J278"/>
  <c r="J254"/>
  <c r="J255"/>
  <c r="J279"/>
  <c r="J280"/>
  <c r="K15" i="61"/>
  <c r="J290" i="55"/>
  <c r="J292"/>
  <c r="J294"/>
  <c r="J301"/>
  <c r="J302"/>
  <c r="J305"/>
  <c r="F11"/>
  <c r="F63"/>
  <c r="F68"/>
  <c r="F120"/>
  <c r="I178"/>
  <c r="F12"/>
  <c r="F69"/>
  <c r="F121"/>
  <c r="I179"/>
  <c r="F13"/>
  <c r="F70"/>
  <c r="F122"/>
  <c r="I180"/>
  <c r="F14"/>
  <c r="F71"/>
  <c r="F123"/>
  <c r="I181"/>
  <c r="F15"/>
  <c r="F72"/>
  <c r="F124"/>
  <c r="I182"/>
  <c r="F16"/>
  <c r="F73"/>
  <c r="F125"/>
  <c r="I183"/>
  <c r="F17"/>
  <c r="F74"/>
  <c r="F126"/>
  <c r="I184"/>
  <c r="F18"/>
  <c r="F75"/>
  <c r="F127"/>
  <c r="I185"/>
  <c r="F19"/>
  <c r="F76"/>
  <c r="F128"/>
  <c r="I186"/>
  <c r="F20"/>
  <c r="F77"/>
  <c r="F129"/>
  <c r="I187"/>
  <c r="F21"/>
  <c r="F78"/>
  <c r="F130"/>
  <c r="I188"/>
  <c r="F22"/>
  <c r="F79"/>
  <c r="F131"/>
  <c r="I189"/>
  <c r="F23"/>
  <c r="F80"/>
  <c r="F132"/>
  <c r="I190"/>
  <c r="F24"/>
  <c r="F81"/>
  <c r="F133"/>
  <c r="I191"/>
  <c r="F25"/>
  <c r="F82"/>
  <c r="F134"/>
  <c r="I192"/>
  <c r="F26"/>
  <c r="F83"/>
  <c r="F135"/>
  <c r="I193"/>
  <c r="F27"/>
  <c r="F84"/>
  <c r="F136"/>
  <c r="I194"/>
  <c r="F28"/>
  <c r="F85"/>
  <c r="F137"/>
  <c r="I195"/>
  <c r="F29"/>
  <c r="F86"/>
  <c r="F138"/>
  <c r="I196"/>
  <c r="F30"/>
  <c r="F87"/>
  <c r="F139"/>
  <c r="I197"/>
  <c r="F31"/>
  <c r="F88"/>
  <c r="F140"/>
  <c r="I198"/>
  <c r="G65"/>
  <c r="I200"/>
  <c r="F35"/>
  <c r="F92"/>
  <c r="F144"/>
  <c r="I203"/>
  <c r="F36"/>
  <c r="F93"/>
  <c r="F145"/>
  <c r="I204"/>
  <c r="F37"/>
  <c r="F94"/>
  <c r="F146"/>
  <c r="I205"/>
  <c r="F38"/>
  <c r="F95"/>
  <c r="F147"/>
  <c r="I206"/>
  <c r="F39"/>
  <c r="F96"/>
  <c r="F148"/>
  <c r="I207"/>
  <c r="F40"/>
  <c r="F97"/>
  <c r="F149"/>
  <c r="I208"/>
  <c r="F41"/>
  <c r="F98"/>
  <c r="F150"/>
  <c r="I209"/>
  <c r="F42"/>
  <c r="F99"/>
  <c r="F151"/>
  <c r="I210"/>
  <c r="F43"/>
  <c r="F100"/>
  <c r="F152"/>
  <c r="I211"/>
  <c r="F44"/>
  <c r="F101"/>
  <c r="F153"/>
  <c r="I212"/>
  <c r="F45"/>
  <c r="F102"/>
  <c r="F154"/>
  <c r="I213"/>
  <c r="F46"/>
  <c r="F103"/>
  <c r="F155"/>
  <c r="I214"/>
  <c r="F47"/>
  <c r="F104"/>
  <c r="F156"/>
  <c r="I215"/>
  <c r="F48"/>
  <c r="F105"/>
  <c r="F157"/>
  <c r="I216"/>
  <c r="F49"/>
  <c r="F106"/>
  <c r="F158"/>
  <c r="I217"/>
  <c r="F50"/>
  <c r="F107"/>
  <c r="F159"/>
  <c r="I218"/>
  <c r="F51"/>
  <c r="F108"/>
  <c r="F160"/>
  <c r="I219"/>
  <c r="F52"/>
  <c r="F109"/>
  <c r="F161"/>
  <c r="I220"/>
  <c r="F56"/>
  <c r="F113"/>
  <c r="F165"/>
  <c r="I224"/>
  <c r="F57"/>
  <c r="F114"/>
  <c r="F166"/>
  <c r="I225"/>
  <c r="F58"/>
  <c r="F115"/>
  <c r="F167"/>
  <c r="I226"/>
  <c r="F59"/>
  <c r="F116"/>
  <c r="F168"/>
  <c r="I227"/>
  <c r="F32"/>
  <c r="F89"/>
  <c r="F141"/>
  <c r="I199"/>
  <c r="F162"/>
  <c r="I221"/>
  <c r="F163"/>
  <c r="I222"/>
  <c r="F164"/>
  <c r="I223"/>
  <c r="I229"/>
  <c r="I285"/>
  <c r="H233"/>
  <c r="H234"/>
  <c r="H235"/>
  <c r="H236"/>
  <c r="H237"/>
  <c r="H238"/>
  <c r="H239"/>
  <c r="H240"/>
  <c r="H241"/>
  <c r="H242"/>
  <c r="H243"/>
  <c r="H244"/>
  <c r="H245"/>
  <c r="H246"/>
  <c r="H247"/>
  <c r="H248"/>
  <c r="H249"/>
  <c r="H250"/>
  <c r="H251"/>
  <c r="H252"/>
  <c r="H253"/>
  <c r="F33"/>
  <c r="F10"/>
  <c r="H282"/>
  <c r="H283"/>
  <c r="H284"/>
  <c r="H257"/>
  <c r="H258"/>
  <c r="H259"/>
  <c r="H260"/>
  <c r="H261"/>
  <c r="H262"/>
  <c r="H263"/>
  <c r="H264"/>
  <c r="H265"/>
  <c r="H266"/>
  <c r="H267"/>
  <c r="H268"/>
  <c r="H269"/>
  <c r="H270"/>
  <c r="H271"/>
  <c r="H272"/>
  <c r="H273"/>
  <c r="H274"/>
  <c r="H275"/>
  <c r="H276"/>
  <c r="H277"/>
  <c r="H278"/>
  <c r="H254"/>
  <c r="H255"/>
  <c r="H279"/>
  <c r="H280"/>
  <c r="I15" i="61"/>
  <c r="J6"/>
  <c r="I289" i="55"/>
  <c r="I290"/>
  <c r="I292"/>
  <c r="I294"/>
  <c r="I301"/>
  <c r="I302"/>
  <c r="I305"/>
  <c r="E11"/>
  <c r="E63"/>
  <c r="E68"/>
  <c r="E120"/>
  <c r="H178"/>
  <c r="E12"/>
  <c r="E69"/>
  <c r="E121"/>
  <c r="H179"/>
  <c r="E13"/>
  <c r="E70"/>
  <c r="E122"/>
  <c r="H180"/>
  <c r="E14"/>
  <c r="E71"/>
  <c r="E123"/>
  <c r="H181"/>
  <c r="E15"/>
  <c r="E72"/>
  <c r="E124"/>
  <c r="H182"/>
  <c r="E16"/>
  <c r="E73"/>
  <c r="E125"/>
  <c r="H183"/>
  <c r="E17"/>
  <c r="E74"/>
  <c r="E126"/>
  <c r="H184"/>
  <c r="E18"/>
  <c r="E75"/>
  <c r="E127"/>
  <c r="H185"/>
  <c r="E19"/>
  <c r="E76"/>
  <c r="E128"/>
  <c r="H186"/>
  <c r="E20"/>
  <c r="E77"/>
  <c r="E129"/>
  <c r="H187"/>
  <c r="E21"/>
  <c r="E78"/>
  <c r="E130"/>
  <c r="H188"/>
  <c r="E22"/>
  <c r="E79"/>
  <c r="E131"/>
  <c r="H189"/>
  <c r="E23"/>
  <c r="E80"/>
  <c r="E132"/>
  <c r="H190"/>
  <c r="E24"/>
  <c r="E81"/>
  <c r="E133"/>
  <c r="H191"/>
  <c r="E25"/>
  <c r="E82"/>
  <c r="E134"/>
  <c r="H192"/>
  <c r="E26"/>
  <c r="E83"/>
  <c r="E135"/>
  <c r="H193"/>
  <c r="E27"/>
  <c r="E84"/>
  <c r="E136"/>
  <c r="H194"/>
  <c r="E28"/>
  <c r="E85"/>
  <c r="E137"/>
  <c r="H195"/>
  <c r="E29"/>
  <c r="E86"/>
  <c r="E138"/>
  <c r="H196"/>
  <c r="E30"/>
  <c r="E87"/>
  <c r="E139"/>
  <c r="H197"/>
  <c r="E31"/>
  <c r="E88"/>
  <c r="E140"/>
  <c r="H198"/>
  <c r="F65"/>
  <c r="H200"/>
  <c r="E35"/>
  <c r="E92"/>
  <c r="E144"/>
  <c r="H203"/>
  <c r="E36"/>
  <c r="E93"/>
  <c r="E145"/>
  <c r="H204"/>
  <c r="E37"/>
  <c r="E94"/>
  <c r="E146"/>
  <c r="H205"/>
  <c r="E38"/>
  <c r="E95"/>
  <c r="E147"/>
  <c r="H206"/>
  <c r="E39"/>
  <c r="E96"/>
  <c r="E148"/>
  <c r="H207"/>
  <c r="E40"/>
  <c r="E97"/>
  <c r="E149"/>
  <c r="H208"/>
  <c r="E41"/>
  <c r="E98"/>
  <c r="E150"/>
  <c r="H209"/>
  <c r="E42"/>
  <c r="E99"/>
  <c r="E151"/>
  <c r="H210"/>
  <c r="E43"/>
  <c r="E100"/>
  <c r="E152"/>
  <c r="H211"/>
  <c r="E44"/>
  <c r="E101"/>
  <c r="E153"/>
  <c r="H212"/>
  <c r="E45"/>
  <c r="E102"/>
  <c r="E154"/>
  <c r="H213"/>
  <c r="E46"/>
  <c r="E103"/>
  <c r="E155"/>
  <c r="H214"/>
  <c r="E47"/>
  <c r="E104"/>
  <c r="E156"/>
  <c r="H215"/>
  <c r="E48"/>
  <c r="E105"/>
  <c r="E157"/>
  <c r="H216"/>
  <c r="E49"/>
  <c r="E106"/>
  <c r="E158"/>
  <c r="H217"/>
  <c r="E50"/>
  <c r="E107"/>
  <c r="E159"/>
  <c r="H218"/>
  <c r="E51"/>
  <c r="E108"/>
  <c r="E160"/>
  <c r="H219"/>
  <c r="E52"/>
  <c r="E109"/>
  <c r="E161"/>
  <c r="H220"/>
  <c r="E56"/>
  <c r="E113"/>
  <c r="E165"/>
  <c r="H224"/>
  <c r="E57"/>
  <c r="E114"/>
  <c r="E166"/>
  <c r="H225"/>
  <c r="E58"/>
  <c r="E115"/>
  <c r="E167"/>
  <c r="H226"/>
  <c r="E59"/>
  <c r="E116"/>
  <c r="E168"/>
  <c r="H227"/>
  <c r="E32"/>
  <c r="E89"/>
  <c r="E141"/>
  <c r="H199"/>
  <c r="E162"/>
  <c r="H221"/>
  <c r="E163"/>
  <c r="H222"/>
  <c r="E164"/>
  <c r="H223"/>
  <c r="H229"/>
  <c r="H285"/>
  <c r="G233"/>
  <c r="G234"/>
  <c r="G235"/>
  <c r="G236"/>
  <c r="G237"/>
  <c r="G238"/>
  <c r="G239"/>
  <c r="G240"/>
  <c r="G241"/>
  <c r="G242"/>
  <c r="G243"/>
  <c r="G244"/>
  <c r="G245"/>
  <c r="G246"/>
  <c r="G247"/>
  <c r="G248"/>
  <c r="G249"/>
  <c r="G250"/>
  <c r="G251"/>
  <c r="G252"/>
  <c r="G253"/>
  <c r="E33"/>
  <c r="E10"/>
  <c r="G282"/>
  <c r="G283"/>
  <c r="G284"/>
  <c r="G257"/>
  <c r="G258"/>
  <c r="G259"/>
  <c r="G260"/>
  <c r="G261"/>
  <c r="G262"/>
  <c r="G263"/>
  <c r="G264"/>
  <c r="G265"/>
  <c r="G266"/>
  <c r="G267"/>
  <c r="G268"/>
  <c r="G269"/>
  <c r="G270"/>
  <c r="G271"/>
  <c r="G272"/>
  <c r="G273"/>
  <c r="G274"/>
  <c r="G275"/>
  <c r="G276"/>
  <c r="G277"/>
  <c r="G278"/>
  <c r="G254"/>
  <c r="G255"/>
  <c r="G279"/>
  <c r="G280"/>
  <c r="H15" i="61"/>
  <c r="I6"/>
  <c r="H289" i="55"/>
  <c r="H290"/>
  <c r="H292"/>
  <c r="H294"/>
  <c r="H301"/>
  <c r="H302"/>
  <c r="H305"/>
  <c r="D11"/>
  <c r="D63"/>
  <c r="D68"/>
  <c r="D120"/>
  <c r="G178"/>
  <c r="D12"/>
  <c r="D69"/>
  <c r="D121"/>
  <c r="G179"/>
  <c r="D13"/>
  <c r="D70"/>
  <c r="D122"/>
  <c r="G180"/>
  <c r="D14"/>
  <c r="D71"/>
  <c r="D123"/>
  <c r="G181"/>
  <c r="D15"/>
  <c r="D72"/>
  <c r="D124"/>
  <c r="G182"/>
  <c r="D16"/>
  <c r="D73"/>
  <c r="D125"/>
  <c r="G183"/>
  <c r="D17"/>
  <c r="D74"/>
  <c r="D126"/>
  <c r="G184"/>
  <c r="D18"/>
  <c r="D75"/>
  <c r="D127"/>
  <c r="G185"/>
  <c r="D19"/>
  <c r="D76"/>
  <c r="D128"/>
  <c r="G186"/>
  <c r="D20"/>
  <c r="D77"/>
  <c r="D129"/>
  <c r="G187"/>
  <c r="D21"/>
  <c r="D78"/>
  <c r="D130"/>
  <c r="G188"/>
  <c r="D22"/>
  <c r="D79"/>
  <c r="D131"/>
  <c r="G189"/>
  <c r="D23"/>
  <c r="D80"/>
  <c r="D132"/>
  <c r="G190"/>
  <c r="D24"/>
  <c r="D81"/>
  <c r="D133"/>
  <c r="G191"/>
  <c r="D25"/>
  <c r="D82"/>
  <c r="D134"/>
  <c r="G192"/>
  <c r="D26"/>
  <c r="D83"/>
  <c r="D135"/>
  <c r="G193"/>
  <c r="D27"/>
  <c r="D84"/>
  <c r="D136"/>
  <c r="G194"/>
  <c r="D28"/>
  <c r="D85"/>
  <c r="D137"/>
  <c r="G195"/>
  <c r="D29"/>
  <c r="D86"/>
  <c r="D138"/>
  <c r="G196"/>
  <c r="D30"/>
  <c r="D87"/>
  <c r="D139"/>
  <c r="G197"/>
  <c r="D31"/>
  <c r="D88"/>
  <c r="D140"/>
  <c r="G198"/>
  <c r="E65"/>
  <c r="G200"/>
  <c r="D35"/>
  <c r="D92"/>
  <c r="D144"/>
  <c r="G203"/>
  <c r="D36"/>
  <c r="D93"/>
  <c r="D145"/>
  <c r="G204"/>
  <c r="D37"/>
  <c r="D94"/>
  <c r="D146"/>
  <c r="G205"/>
  <c r="D38"/>
  <c r="D95"/>
  <c r="D147"/>
  <c r="G206"/>
  <c r="D39"/>
  <c r="D96"/>
  <c r="D148"/>
  <c r="G207"/>
  <c r="D40"/>
  <c r="D97"/>
  <c r="D149"/>
  <c r="G208"/>
  <c r="D41"/>
  <c r="D98"/>
  <c r="D150"/>
  <c r="G209"/>
  <c r="D42"/>
  <c r="D99"/>
  <c r="D151"/>
  <c r="G210"/>
  <c r="D43"/>
  <c r="D100"/>
  <c r="D152"/>
  <c r="G211"/>
  <c r="D44"/>
  <c r="D101"/>
  <c r="D153"/>
  <c r="G212"/>
  <c r="D45"/>
  <c r="D102"/>
  <c r="D154"/>
  <c r="G213"/>
  <c r="D46"/>
  <c r="D103"/>
  <c r="D155"/>
  <c r="G214"/>
  <c r="D47"/>
  <c r="D104"/>
  <c r="D156"/>
  <c r="G215"/>
  <c r="D48"/>
  <c r="D105"/>
  <c r="D157"/>
  <c r="G216"/>
  <c r="D49"/>
  <c r="D106"/>
  <c r="D158"/>
  <c r="G217"/>
  <c r="D50"/>
  <c r="D107"/>
  <c r="D159"/>
  <c r="G218"/>
  <c r="D51"/>
  <c r="D108"/>
  <c r="D160"/>
  <c r="G219"/>
  <c r="D52"/>
  <c r="D109"/>
  <c r="D161"/>
  <c r="G220"/>
  <c r="D56"/>
  <c r="D113"/>
  <c r="D165"/>
  <c r="G224"/>
  <c r="D57"/>
  <c r="D114"/>
  <c r="D166"/>
  <c r="G225"/>
  <c r="D58"/>
  <c r="D115"/>
  <c r="D167"/>
  <c r="G226"/>
  <c r="D59"/>
  <c r="D116"/>
  <c r="D168"/>
  <c r="G227"/>
  <c r="D32"/>
  <c r="D89"/>
  <c r="D141"/>
  <c r="G199"/>
  <c r="D162"/>
  <c r="G221"/>
  <c r="D163"/>
  <c r="G222"/>
  <c r="D164"/>
  <c r="G223"/>
  <c r="G229"/>
  <c r="G285"/>
  <c r="F233"/>
  <c r="F234"/>
  <c r="F235"/>
  <c r="F236"/>
  <c r="F237"/>
  <c r="F238"/>
  <c r="F239"/>
  <c r="F240"/>
  <c r="F241"/>
  <c r="F242"/>
  <c r="F243"/>
  <c r="F244"/>
  <c r="F245"/>
  <c r="F246"/>
  <c r="F247"/>
  <c r="F248"/>
  <c r="F249"/>
  <c r="F250"/>
  <c r="F251"/>
  <c r="F252"/>
  <c r="F253"/>
  <c r="D33"/>
  <c r="D10"/>
  <c r="F282"/>
  <c r="F283"/>
  <c r="F284"/>
  <c r="F257"/>
  <c r="F258"/>
  <c r="F259"/>
  <c r="F260"/>
  <c r="F261"/>
  <c r="F262"/>
  <c r="F263"/>
  <c r="F264"/>
  <c r="F265"/>
  <c r="F266"/>
  <c r="F267"/>
  <c r="F268"/>
  <c r="F269"/>
  <c r="F270"/>
  <c r="F271"/>
  <c r="F272"/>
  <c r="F273"/>
  <c r="F274"/>
  <c r="F275"/>
  <c r="F276"/>
  <c r="F277"/>
  <c r="F278"/>
  <c r="F254"/>
  <c r="F255"/>
  <c r="F279"/>
  <c r="F280"/>
  <c r="G15" i="61"/>
  <c r="H6"/>
  <c r="G289" i="55"/>
  <c r="G290"/>
  <c r="G292"/>
  <c r="G294"/>
  <c r="G301"/>
  <c r="G302"/>
  <c r="G305"/>
  <c r="C11"/>
  <c r="C68"/>
  <c r="C120"/>
  <c r="F178"/>
  <c r="C12"/>
  <c r="C69"/>
  <c r="C121"/>
  <c r="F179"/>
  <c r="C13"/>
  <c r="C70"/>
  <c r="C122"/>
  <c r="F180"/>
  <c r="C14"/>
  <c r="C71"/>
  <c r="C123"/>
  <c r="F181"/>
  <c r="C15"/>
  <c r="C72"/>
  <c r="C124"/>
  <c r="F182"/>
  <c r="C16"/>
  <c r="C73"/>
  <c r="C125"/>
  <c r="F183"/>
  <c r="C17"/>
  <c r="C74"/>
  <c r="C126"/>
  <c r="F184"/>
  <c r="C18"/>
  <c r="C75"/>
  <c r="C127"/>
  <c r="F185"/>
  <c r="C19"/>
  <c r="C76"/>
  <c r="C128"/>
  <c r="F186"/>
  <c r="C20"/>
  <c r="C77"/>
  <c r="C129"/>
  <c r="F187"/>
  <c r="C21"/>
  <c r="C78"/>
  <c r="C130"/>
  <c r="F188"/>
  <c r="C22"/>
  <c r="C79"/>
  <c r="C131"/>
  <c r="F189"/>
  <c r="C23"/>
  <c r="C80"/>
  <c r="C132"/>
  <c r="F190"/>
  <c r="C24"/>
  <c r="C81"/>
  <c r="C133"/>
  <c r="F191"/>
  <c r="C25"/>
  <c r="C82"/>
  <c r="C134"/>
  <c r="F192"/>
  <c r="C26"/>
  <c r="C83"/>
  <c r="C135"/>
  <c r="F193"/>
  <c r="C27"/>
  <c r="C84"/>
  <c r="C136"/>
  <c r="F194"/>
  <c r="C28"/>
  <c r="C85"/>
  <c r="C137"/>
  <c r="F195"/>
  <c r="C29"/>
  <c r="C86"/>
  <c r="C138"/>
  <c r="F196"/>
  <c r="C30"/>
  <c r="C87"/>
  <c r="C139"/>
  <c r="F197"/>
  <c r="C31"/>
  <c r="C88"/>
  <c r="C140"/>
  <c r="F198"/>
  <c r="D65"/>
  <c r="F200"/>
  <c r="C35"/>
  <c r="C92"/>
  <c r="C144"/>
  <c r="F203"/>
  <c r="C36"/>
  <c r="C93"/>
  <c r="C145"/>
  <c r="F204"/>
  <c r="C37"/>
  <c r="C94"/>
  <c r="C146"/>
  <c r="F205"/>
  <c r="C38"/>
  <c r="C95"/>
  <c r="C147"/>
  <c r="F206"/>
  <c r="C39"/>
  <c r="C96"/>
  <c r="C148"/>
  <c r="F207"/>
  <c r="C40"/>
  <c r="C97"/>
  <c r="C149"/>
  <c r="F208"/>
  <c r="C41"/>
  <c r="C98"/>
  <c r="C150"/>
  <c r="F209"/>
  <c r="C42"/>
  <c r="C99"/>
  <c r="C151"/>
  <c r="F210"/>
  <c r="C43"/>
  <c r="C100"/>
  <c r="C152"/>
  <c r="F211"/>
  <c r="C44"/>
  <c r="C101"/>
  <c r="C153"/>
  <c r="F212"/>
  <c r="C45"/>
  <c r="C102"/>
  <c r="C154"/>
  <c r="F213"/>
  <c r="C46"/>
  <c r="C103"/>
  <c r="C155"/>
  <c r="F214"/>
  <c r="C47"/>
  <c r="C104"/>
  <c r="C156"/>
  <c r="F215"/>
  <c r="C48"/>
  <c r="C105"/>
  <c r="C157"/>
  <c r="F216"/>
  <c r="C49"/>
  <c r="C106"/>
  <c r="C158"/>
  <c r="F217"/>
  <c r="C50"/>
  <c r="C107"/>
  <c r="C159"/>
  <c r="F218"/>
  <c r="C51"/>
  <c r="C108"/>
  <c r="C160"/>
  <c r="F219"/>
  <c r="C52"/>
  <c r="C109"/>
  <c r="C161"/>
  <c r="F220"/>
  <c r="C56"/>
  <c r="C113"/>
  <c r="C165"/>
  <c r="F224"/>
  <c r="C57"/>
  <c r="C114"/>
  <c r="C166"/>
  <c r="F225"/>
  <c r="C58"/>
  <c r="C115"/>
  <c r="C167"/>
  <c r="F226"/>
  <c r="C59"/>
  <c r="C116"/>
  <c r="C168"/>
  <c r="F227"/>
  <c r="C32"/>
  <c r="C89"/>
  <c r="C141"/>
  <c r="F199"/>
  <c r="C162"/>
  <c r="F221"/>
  <c r="C163"/>
  <c r="F222"/>
  <c r="C164"/>
  <c r="F223"/>
  <c r="F229"/>
  <c r="F285"/>
  <c r="E233"/>
  <c r="E234"/>
  <c r="E235"/>
  <c r="E236"/>
  <c r="E237"/>
  <c r="E238"/>
  <c r="E239"/>
  <c r="E240"/>
  <c r="E241"/>
  <c r="E242"/>
  <c r="E243"/>
  <c r="E244"/>
  <c r="E245"/>
  <c r="E246"/>
  <c r="E247"/>
  <c r="E248"/>
  <c r="E249"/>
  <c r="E250"/>
  <c r="E251"/>
  <c r="E252"/>
  <c r="E253"/>
  <c r="C33"/>
  <c r="C10"/>
  <c r="E282"/>
  <c r="E283"/>
  <c r="E284"/>
  <c r="E257"/>
  <c r="E258"/>
  <c r="E259"/>
  <c r="E260"/>
  <c r="E261"/>
  <c r="E262"/>
  <c r="E263"/>
  <c r="E264"/>
  <c r="E265"/>
  <c r="E266"/>
  <c r="E267"/>
  <c r="E268"/>
  <c r="E269"/>
  <c r="E270"/>
  <c r="E271"/>
  <c r="E272"/>
  <c r="E273"/>
  <c r="E274"/>
  <c r="E275"/>
  <c r="E276"/>
  <c r="E277"/>
  <c r="E278"/>
  <c r="E254"/>
  <c r="E255"/>
  <c r="E279"/>
  <c r="E280"/>
  <c r="F15" i="61"/>
  <c r="G6"/>
  <c r="F289" i="55"/>
  <c r="F290"/>
  <c r="F292"/>
  <c r="F294"/>
  <c r="F301"/>
  <c r="F302"/>
  <c r="F305"/>
  <c r="E178"/>
  <c r="E179"/>
  <c r="E180"/>
  <c r="E181"/>
  <c r="E182"/>
  <c r="E183"/>
  <c r="E184"/>
  <c r="E185"/>
  <c r="E186"/>
  <c r="E187"/>
  <c r="E188"/>
  <c r="E189"/>
  <c r="E190"/>
  <c r="E191"/>
  <c r="E192"/>
  <c r="E193"/>
  <c r="E194"/>
  <c r="E195"/>
  <c r="E196"/>
  <c r="E197"/>
  <c r="E198"/>
  <c r="C65"/>
  <c r="E200"/>
  <c r="B35"/>
  <c r="B92"/>
  <c r="B144"/>
  <c r="E203"/>
  <c r="B36"/>
  <c r="B93"/>
  <c r="B145"/>
  <c r="E204"/>
  <c r="B37"/>
  <c r="B94"/>
  <c r="B146"/>
  <c r="E205"/>
  <c r="B38"/>
  <c r="B95"/>
  <c r="B147"/>
  <c r="E206"/>
  <c r="B39"/>
  <c r="B96"/>
  <c r="B148"/>
  <c r="E207"/>
  <c r="B40"/>
  <c r="B97"/>
  <c r="B149"/>
  <c r="E208"/>
  <c r="B41"/>
  <c r="B98"/>
  <c r="B150"/>
  <c r="E209"/>
  <c r="B42"/>
  <c r="B99"/>
  <c r="B151"/>
  <c r="E210"/>
  <c r="B43"/>
  <c r="B100"/>
  <c r="B152"/>
  <c r="E211"/>
  <c r="B44"/>
  <c r="B101"/>
  <c r="B153"/>
  <c r="E212"/>
  <c r="B45"/>
  <c r="B102"/>
  <c r="B154"/>
  <c r="E213"/>
  <c r="B46"/>
  <c r="B103"/>
  <c r="B155"/>
  <c r="E214"/>
  <c r="B47"/>
  <c r="B104"/>
  <c r="B156"/>
  <c r="E215"/>
  <c r="B48"/>
  <c r="B105"/>
  <c r="B157"/>
  <c r="E216"/>
  <c r="B49"/>
  <c r="B106"/>
  <c r="B158"/>
  <c r="E217"/>
  <c r="B50"/>
  <c r="B107"/>
  <c r="B159"/>
  <c r="E218"/>
  <c r="B51"/>
  <c r="B108"/>
  <c r="B160"/>
  <c r="E219"/>
  <c r="B52"/>
  <c r="B109"/>
  <c r="B161"/>
  <c r="E220"/>
  <c r="B56"/>
  <c r="B113"/>
  <c r="B165"/>
  <c r="E224"/>
  <c r="B57"/>
  <c r="B114"/>
  <c r="B166"/>
  <c r="E225"/>
  <c r="B58"/>
  <c r="B115"/>
  <c r="B167"/>
  <c r="E226"/>
  <c r="B59"/>
  <c r="B116"/>
  <c r="B168"/>
  <c r="E227"/>
  <c r="B32"/>
  <c r="B89"/>
  <c r="B141"/>
  <c r="E199"/>
  <c r="B162"/>
  <c r="E221"/>
  <c r="B163"/>
  <c r="E222"/>
  <c r="B164"/>
  <c r="E223"/>
  <c r="E229"/>
  <c r="E285"/>
  <c r="D233"/>
  <c r="D234"/>
  <c r="D235"/>
  <c r="D236"/>
  <c r="D237"/>
  <c r="D238"/>
  <c r="D239"/>
  <c r="D240"/>
  <c r="D241"/>
  <c r="D242"/>
  <c r="D243"/>
  <c r="D244"/>
  <c r="D245"/>
  <c r="D246"/>
  <c r="D247"/>
  <c r="D248"/>
  <c r="D249"/>
  <c r="D250"/>
  <c r="D251"/>
  <c r="D252"/>
  <c r="D253"/>
  <c r="B10"/>
  <c r="D282"/>
  <c r="D283"/>
  <c r="D284"/>
  <c r="D257"/>
  <c r="D258"/>
  <c r="D259"/>
  <c r="D260"/>
  <c r="D261"/>
  <c r="D262"/>
  <c r="D263"/>
  <c r="D264"/>
  <c r="D265"/>
  <c r="D266"/>
  <c r="D267"/>
  <c r="D268"/>
  <c r="D269"/>
  <c r="D270"/>
  <c r="D271"/>
  <c r="D272"/>
  <c r="D273"/>
  <c r="D274"/>
  <c r="D275"/>
  <c r="D276"/>
  <c r="D277"/>
  <c r="D278"/>
  <c r="D254"/>
  <c r="D255"/>
  <c r="D279"/>
  <c r="D280"/>
  <c r="E15" i="61"/>
  <c r="F6"/>
  <c r="E289" i="55"/>
  <c r="E290"/>
  <c r="E292"/>
  <c r="E294"/>
  <c r="E301"/>
  <c r="E302"/>
  <c r="E305"/>
  <c r="D203"/>
  <c r="D204"/>
  <c r="D205"/>
  <c r="D206"/>
  <c r="D207"/>
  <c r="D208"/>
  <c r="D209"/>
  <c r="D210"/>
  <c r="D211"/>
  <c r="D212"/>
  <c r="D213"/>
  <c r="D214"/>
  <c r="D215"/>
  <c r="D216"/>
  <c r="D217"/>
  <c r="D218"/>
  <c r="D219"/>
  <c r="D220"/>
  <c r="D224"/>
  <c r="D225"/>
  <c r="D226"/>
  <c r="D227"/>
  <c r="D199"/>
  <c r="D221"/>
  <c r="D222"/>
  <c r="D223"/>
  <c r="D285"/>
  <c r="D290"/>
  <c r="D292"/>
  <c r="D294"/>
  <c r="D301"/>
  <c r="D302"/>
  <c r="D305"/>
  <c r="A280"/>
  <c r="A279"/>
  <c r="A59"/>
  <c r="A116"/>
  <c r="A168"/>
  <c r="A227"/>
  <c r="A278"/>
  <c r="A58"/>
  <c r="A115"/>
  <c r="A167"/>
  <c r="A226"/>
  <c r="A277"/>
  <c r="A57"/>
  <c r="A114"/>
  <c r="A166"/>
  <c r="A225"/>
  <c r="A276"/>
  <c r="A56"/>
  <c r="A113"/>
  <c r="A165"/>
  <c r="A224"/>
  <c r="A275"/>
  <c r="A52"/>
  <c r="A109"/>
  <c r="A161"/>
  <c r="A220"/>
  <c r="A274"/>
  <c r="A51"/>
  <c r="A108"/>
  <c r="A160"/>
  <c r="A219"/>
  <c r="A273"/>
  <c r="A50"/>
  <c r="A107"/>
  <c r="A159"/>
  <c r="A218"/>
  <c r="A272"/>
  <c r="A49"/>
  <c r="A106"/>
  <c r="A158"/>
  <c r="A217"/>
  <c r="A271"/>
  <c r="A48"/>
  <c r="A105"/>
  <c r="A157"/>
  <c r="A216"/>
  <c r="A270"/>
  <c r="A47"/>
  <c r="A104"/>
  <c r="A156"/>
  <c r="A215"/>
  <c r="A269"/>
  <c r="A46"/>
  <c r="A103"/>
  <c r="A155"/>
  <c r="A214"/>
  <c r="A268"/>
  <c r="A45"/>
  <c r="A102"/>
  <c r="A154"/>
  <c r="A213"/>
  <c r="A267"/>
  <c r="A44"/>
  <c r="A101"/>
  <c r="A153"/>
  <c r="A212"/>
  <c r="A266"/>
  <c r="A43"/>
  <c r="A100"/>
  <c r="A152"/>
  <c r="A211"/>
  <c r="A265"/>
  <c r="A42"/>
  <c r="A99"/>
  <c r="A151"/>
  <c r="A210"/>
  <c r="A264"/>
  <c r="A41"/>
  <c r="A98"/>
  <c r="A150"/>
  <c r="A209"/>
  <c r="A263"/>
  <c r="A40"/>
  <c r="A97"/>
  <c r="A149"/>
  <c r="A208"/>
  <c r="A262"/>
  <c r="A39"/>
  <c r="A96"/>
  <c r="A148"/>
  <c r="A207"/>
  <c r="A261"/>
  <c r="A38"/>
  <c r="A95"/>
  <c r="A147"/>
  <c r="A206"/>
  <c r="A260"/>
  <c r="A37"/>
  <c r="A94"/>
  <c r="A146"/>
  <c r="A205"/>
  <c r="A259"/>
  <c r="A36"/>
  <c r="A93"/>
  <c r="A145"/>
  <c r="A204"/>
  <c r="A258"/>
  <c r="A35"/>
  <c r="A92"/>
  <c r="A144"/>
  <c r="A203"/>
  <c r="A257"/>
  <c r="A34"/>
  <c r="A91"/>
  <c r="A143"/>
  <c r="A202"/>
  <c r="A256"/>
  <c r="A255"/>
  <c r="A254"/>
  <c r="A31"/>
  <c r="A88"/>
  <c r="A140"/>
  <c r="A198"/>
  <c r="A253"/>
  <c r="A30"/>
  <c r="A87"/>
  <c r="A139"/>
  <c r="A197"/>
  <c r="A252"/>
  <c r="A29"/>
  <c r="A86"/>
  <c r="A138"/>
  <c r="A196"/>
  <c r="A251"/>
  <c r="A28"/>
  <c r="A85"/>
  <c r="A137"/>
  <c r="A195"/>
  <c r="A250"/>
  <c r="A27"/>
  <c r="A84"/>
  <c r="A136"/>
  <c r="A194"/>
  <c r="A249"/>
  <c r="A26"/>
  <c r="A83"/>
  <c r="A135"/>
  <c r="A193"/>
  <c r="A248"/>
  <c r="A25"/>
  <c r="A82"/>
  <c r="A134"/>
  <c r="A192"/>
  <c r="A247"/>
  <c r="A24"/>
  <c r="A81"/>
  <c r="A133"/>
  <c r="A191"/>
  <c r="A246"/>
  <c r="A23"/>
  <c r="A80"/>
  <c r="A132"/>
  <c r="A190"/>
  <c r="A245"/>
  <c r="A22"/>
  <c r="A79"/>
  <c r="A131"/>
  <c r="A189"/>
  <c r="A244"/>
  <c r="A21"/>
  <c r="A78"/>
  <c r="A130"/>
  <c r="A188"/>
  <c r="A243"/>
  <c r="A20"/>
  <c r="A77"/>
  <c r="A129"/>
  <c r="A187"/>
  <c r="A242"/>
  <c r="A19"/>
  <c r="A76"/>
  <c r="A128"/>
  <c r="A186"/>
  <c r="A241"/>
  <c r="A18"/>
  <c r="A75"/>
  <c r="A127"/>
  <c r="A185"/>
  <c r="A240"/>
  <c r="A17"/>
  <c r="A74"/>
  <c r="A126"/>
  <c r="A184"/>
  <c r="A239"/>
  <c r="A16"/>
  <c r="A73"/>
  <c r="A125"/>
  <c r="A183"/>
  <c r="A238"/>
  <c r="A15"/>
  <c r="A72"/>
  <c r="A124"/>
  <c r="A182"/>
  <c r="A237"/>
  <c r="A236"/>
  <c r="A235"/>
  <c r="A234"/>
  <c r="A233"/>
  <c r="A55"/>
  <c r="A112"/>
  <c r="A164"/>
  <c r="A223"/>
  <c r="A54"/>
  <c r="A111"/>
  <c r="A163"/>
  <c r="A222"/>
  <c r="A53"/>
  <c r="A110"/>
  <c r="A162"/>
  <c r="A221"/>
  <c r="A32"/>
  <c r="A89"/>
  <c r="A141"/>
  <c r="H61"/>
  <c r="G61"/>
  <c r="F61"/>
  <c r="E61"/>
  <c r="D61"/>
  <c r="C61"/>
  <c r="B61"/>
  <c r="B66" i="83"/>
  <c r="C66"/>
  <c r="D66"/>
  <c r="E66"/>
  <c r="F66"/>
  <c r="G66"/>
  <c r="H66"/>
  <c r="B65"/>
  <c r="C65"/>
  <c r="D65"/>
  <c r="E65"/>
  <c r="F65"/>
  <c r="G65"/>
  <c r="H65"/>
  <c r="B64"/>
  <c r="C64"/>
  <c r="D64"/>
  <c r="E64"/>
  <c r="F64"/>
  <c r="G64"/>
  <c r="H64"/>
  <c r="B109" i="81"/>
  <c r="C109"/>
  <c r="D109"/>
  <c r="E109"/>
  <c r="F109"/>
  <c r="G109"/>
  <c r="H109"/>
  <c r="B100"/>
  <c r="C100"/>
  <c r="D100"/>
  <c r="E100"/>
  <c r="F100"/>
  <c r="G100"/>
  <c r="H100"/>
  <c r="A100"/>
  <c r="B87"/>
  <c r="C87"/>
  <c r="D87"/>
  <c r="E87"/>
  <c r="F87"/>
  <c r="G87"/>
  <c r="H87"/>
  <c r="B86"/>
  <c r="C86"/>
  <c r="D86"/>
  <c r="E86"/>
  <c r="F86"/>
  <c r="G86"/>
  <c r="H86"/>
  <c r="K12"/>
  <c r="L12"/>
  <c r="M12"/>
  <c r="N12"/>
  <c r="N14"/>
  <c r="M14"/>
  <c r="L14"/>
  <c r="K14"/>
  <c r="J14"/>
  <c r="V12"/>
  <c r="W12"/>
  <c r="X12"/>
  <c r="P12"/>
  <c r="Q12"/>
  <c r="R12"/>
  <c r="S12"/>
  <c r="T12"/>
  <c r="H6" i="21"/>
  <c r="I170" i="29"/>
  <c r="H7" i="21"/>
  <c r="I171" i="29"/>
  <c r="H10" i="21"/>
  <c r="I174" i="29"/>
  <c r="H11" i="21"/>
  <c r="I175" i="29"/>
  <c r="H8" i="21"/>
  <c r="I172" i="29"/>
  <c r="H9" i="21"/>
  <c r="I173" i="29"/>
  <c r="I176"/>
  <c r="I177"/>
  <c r="H16" i="21"/>
  <c r="H17"/>
  <c r="H20"/>
  <c r="H21"/>
  <c r="H18"/>
  <c r="H19"/>
  <c r="H23"/>
  <c r="I180" i="29"/>
  <c r="H27" i="21"/>
  <c r="F4" i="22"/>
  <c r="G4"/>
  <c r="H4"/>
  <c r="I4"/>
  <c r="J4"/>
  <c r="K4"/>
  <c r="K8"/>
  <c r="K9"/>
  <c r="K10"/>
  <c r="K16"/>
  <c r="K14"/>
  <c r="K15"/>
  <c r="K11"/>
  <c r="K12"/>
  <c r="K13"/>
  <c r="K17"/>
  <c r="K18"/>
  <c r="K19"/>
  <c r="K20"/>
  <c r="K21"/>
  <c r="K22"/>
  <c r="K23"/>
  <c r="H33" i="21"/>
  <c r="H28"/>
  <c r="H26"/>
  <c r="H29"/>
  <c r="H30"/>
  <c r="H31"/>
  <c r="H34"/>
  <c r="I179" i="29"/>
  <c r="I181"/>
  <c r="I182"/>
  <c r="G6" i="21"/>
  <c r="H170" i="29"/>
  <c r="G7" i="21"/>
  <c r="H171" i="29"/>
  <c r="G10" i="21"/>
  <c r="H174" i="29"/>
  <c r="G11" i="21"/>
  <c r="H175" i="29"/>
  <c r="G8" i="21"/>
  <c r="H172" i="29"/>
  <c r="G9" i="21"/>
  <c r="H173" i="29"/>
  <c r="H176"/>
  <c r="H177"/>
  <c r="G16" i="21"/>
  <c r="G17"/>
  <c r="G20"/>
  <c r="G21"/>
  <c r="G18"/>
  <c r="G19"/>
  <c r="G23"/>
  <c r="H180" i="29"/>
  <c r="G27" i="21"/>
  <c r="J8" i="22"/>
  <c r="J9"/>
  <c r="J10"/>
  <c r="J16"/>
  <c r="J14"/>
  <c r="J15"/>
  <c r="J11"/>
  <c r="J12"/>
  <c r="J13"/>
  <c r="J17"/>
  <c r="J18"/>
  <c r="J19"/>
  <c r="J20"/>
  <c r="J21"/>
  <c r="J22"/>
  <c r="J23"/>
  <c r="G33" i="21"/>
  <c r="G28"/>
  <c r="G26"/>
  <c r="G29"/>
  <c r="G30"/>
  <c r="G31"/>
  <c r="G34"/>
  <c r="H179" i="29"/>
  <c r="H181"/>
  <c r="H182"/>
  <c r="F6" i="21"/>
  <c r="G170" i="29"/>
  <c r="F7" i="21"/>
  <c r="G171" i="29"/>
  <c r="F10" i="21"/>
  <c r="G174" i="29"/>
  <c r="F11" i="21"/>
  <c r="G175" i="29"/>
  <c r="F8" i="21"/>
  <c r="G172" i="29"/>
  <c r="F9" i="21"/>
  <c r="G173" i="29"/>
  <c r="G176"/>
  <c r="G177"/>
  <c r="F16" i="21"/>
  <c r="F17"/>
  <c r="F20"/>
  <c r="F21"/>
  <c r="F18"/>
  <c r="F19"/>
  <c r="F23"/>
  <c r="G180" i="29"/>
  <c r="F27" i="21"/>
  <c r="I8" i="22"/>
  <c r="I9"/>
  <c r="I10"/>
  <c r="I16"/>
  <c r="I14"/>
  <c r="I15"/>
  <c r="I11"/>
  <c r="I12"/>
  <c r="I13"/>
  <c r="I17"/>
  <c r="I18"/>
  <c r="I19"/>
  <c r="I20"/>
  <c r="I21"/>
  <c r="I22"/>
  <c r="I23"/>
  <c r="F33" i="21"/>
  <c r="F28"/>
  <c r="F26"/>
  <c r="F29"/>
  <c r="F30"/>
  <c r="F31"/>
  <c r="F34"/>
  <c r="G179" i="29"/>
  <c r="G181"/>
  <c r="G182"/>
  <c r="E6" i="21"/>
  <c r="F170" i="29"/>
  <c r="E7" i="21"/>
  <c r="F171" i="29"/>
  <c r="E10" i="21"/>
  <c r="F174" i="29"/>
  <c r="E11" i="21"/>
  <c r="F175" i="29"/>
  <c r="E8" i="21"/>
  <c r="F172" i="29"/>
  <c r="E9" i="21"/>
  <c r="F173" i="29"/>
  <c r="F176"/>
  <c r="F177"/>
  <c r="E16" i="21"/>
  <c r="E17"/>
  <c r="E20"/>
  <c r="E21"/>
  <c r="E18"/>
  <c r="E19"/>
  <c r="E23"/>
  <c r="F180" i="29"/>
  <c r="E27" i="21"/>
  <c r="H8" i="22"/>
  <c r="H9"/>
  <c r="H10"/>
  <c r="H16"/>
  <c r="H14"/>
  <c r="H15"/>
  <c r="H11"/>
  <c r="H12"/>
  <c r="H13"/>
  <c r="H17"/>
  <c r="H18"/>
  <c r="H19"/>
  <c r="H20"/>
  <c r="H21"/>
  <c r="H22"/>
  <c r="H23"/>
  <c r="E33" i="21"/>
  <c r="E28"/>
  <c r="E26"/>
  <c r="E29"/>
  <c r="E30"/>
  <c r="E31"/>
  <c r="E34"/>
  <c r="F179" i="29"/>
  <c r="F181"/>
  <c r="F182"/>
  <c r="D6" i="21"/>
  <c r="E170" i="29"/>
  <c r="D7" i="21"/>
  <c r="E171" i="29"/>
  <c r="D10" i="21"/>
  <c r="E174" i="29"/>
  <c r="D11" i="21"/>
  <c r="E175" i="29"/>
  <c r="D8" i="21"/>
  <c r="E172" i="29"/>
  <c r="D9" i="21"/>
  <c r="E173" i="29"/>
  <c r="E176"/>
  <c r="E177"/>
  <c r="D16" i="21"/>
  <c r="D17"/>
  <c r="D20"/>
  <c r="D21"/>
  <c r="D18"/>
  <c r="D19"/>
  <c r="D23"/>
  <c r="E180" i="29"/>
  <c r="D27" i="21"/>
  <c r="G8" i="22"/>
  <c r="G9"/>
  <c r="G10"/>
  <c r="G16"/>
  <c r="G14"/>
  <c r="G15"/>
  <c r="G11"/>
  <c r="G12"/>
  <c r="G13"/>
  <c r="G17"/>
  <c r="G18"/>
  <c r="G19"/>
  <c r="G20"/>
  <c r="G21"/>
  <c r="G22"/>
  <c r="G23"/>
  <c r="D33" i="21"/>
  <c r="D28"/>
  <c r="D26"/>
  <c r="D29"/>
  <c r="D30"/>
  <c r="D31"/>
  <c r="D34"/>
  <c r="E179" i="29"/>
  <c r="E181"/>
  <c r="E182"/>
  <c r="C6" i="21"/>
  <c r="D170" i="29"/>
  <c r="C7" i="21"/>
  <c r="D171" i="29"/>
  <c r="C10" i="21"/>
  <c r="D174" i="29"/>
  <c r="C11" i="21"/>
  <c r="D175" i="29"/>
  <c r="C8" i="21"/>
  <c r="D172" i="29"/>
  <c r="C9" i="21"/>
  <c r="D173" i="29"/>
  <c r="D176"/>
  <c r="D177"/>
  <c r="C16" i="21"/>
  <c r="C17"/>
  <c r="C20"/>
  <c r="C21"/>
  <c r="C18"/>
  <c r="C19"/>
  <c r="C23"/>
  <c r="D180" i="29"/>
  <c r="C27" i="21"/>
  <c r="F8" i="22"/>
  <c r="F9"/>
  <c r="F10"/>
  <c r="F16"/>
  <c r="F14"/>
  <c r="F15"/>
  <c r="F11"/>
  <c r="F12"/>
  <c r="F13"/>
  <c r="F17"/>
  <c r="F18"/>
  <c r="F19"/>
  <c r="F20"/>
  <c r="F21"/>
  <c r="F22"/>
  <c r="F23"/>
  <c r="C33" i="21"/>
  <c r="C28"/>
  <c r="C26"/>
  <c r="C29"/>
  <c r="C30"/>
  <c r="C31"/>
  <c r="C34"/>
  <c r="D179" i="29"/>
  <c r="D181"/>
  <c r="D182"/>
  <c r="C170"/>
  <c r="B7" i="21"/>
  <c r="C171" i="29"/>
  <c r="B10" i="21"/>
  <c r="C174" i="29"/>
  <c r="B11" i="21"/>
  <c r="C175" i="29"/>
  <c r="B8" i="21"/>
  <c r="C172" i="29"/>
  <c r="B9" i="21"/>
  <c r="C173" i="29"/>
  <c r="C176"/>
  <c r="C177"/>
  <c r="B16" i="21"/>
  <c r="B17"/>
  <c r="B20"/>
  <c r="B21"/>
  <c r="B18"/>
  <c r="B19"/>
  <c r="B23"/>
  <c r="C180" i="29"/>
  <c r="B27" i="21"/>
  <c r="E8" i="22"/>
  <c r="E9"/>
  <c r="E10"/>
  <c r="E16"/>
  <c r="E14"/>
  <c r="E15"/>
  <c r="E11"/>
  <c r="E12"/>
  <c r="E13"/>
  <c r="E17"/>
  <c r="E18"/>
  <c r="E19"/>
  <c r="E20"/>
  <c r="E21"/>
  <c r="E22"/>
  <c r="E23"/>
  <c r="B33" i="21"/>
  <c r="B28"/>
  <c r="B26"/>
  <c r="B29"/>
  <c r="B30"/>
  <c r="B31"/>
  <c r="B34"/>
  <c r="C179" i="29"/>
  <c r="C181"/>
  <c r="C182"/>
  <c r="B131"/>
  <c r="B146"/>
  <c r="B161"/>
  <c r="B176"/>
  <c r="B130"/>
  <c r="B145"/>
  <c r="B160"/>
  <c r="B175"/>
  <c r="B129"/>
  <c r="B144"/>
  <c r="B159"/>
  <c r="B174"/>
  <c r="B128"/>
  <c r="B143"/>
  <c r="B158"/>
  <c r="B173"/>
  <c r="B127"/>
  <c r="B142"/>
  <c r="B157"/>
  <c r="B172"/>
  <c r="B126"/>
  <c r="B141"/>
  <c r="B156"/>
  <c r="B171"/>
  <c r="B125"/>
  <c r="B140"/>
  <c r="B155"/>
  <c r="B170"/>
  <c r="I155"/>
  <c r="I156"/>
  <c r="I159"/>
  <c r="I160"/>
  <c r="I157"/>
  <c r="I158"/>
  <c r="I161"/>
  <c r="I162"/>
  <c r="I165"/>
  <c r="I164"/>
  <c r="I166"/>
  <c r="I167"/>
  <c r="H155"/>
  <c r="H156"/>
  <c r="H159"/>
  <c r="H160"/>
  <c r="H157"/>
  <c r="H158"/>
  <c r="H161"/>
  <c r="H162"/>
  <c r="H165"/>
  <c r="H164"/>
  <c r="H166"/>
  <c r="H167"/>
  <c r="G155"/>
  <c r="G156"/>
  <c r="G159"/>
  <c r="G160"/>
  <c r="G157"/>
  <c r="G158"/>
  <c r="G161"/>
  <c r="G162"/>
  <c r="G165"/>
  <c r="G164"/>
  <c r="G166"/>
  <c r="G167"/>
  <c r="F155"/>
  <c r="F156"/>
  <c r="F159"/>
  <c r="F160"/>
  <c r="F157"/>
  <c r="F158"/>
  <c r="F161"/>
  <c r="F162"/>
  <c r="F165"/>
  <c r="F164"/>
  <c r="F166"/>
  <c r="F167"/>
  <c r="E155"/>
  <c r="E156"/>
  <c r="E159"/>
  <c r="E160"/>
  <c r="E157"/>
  <c r="E158"/>
  <c r="E161"/>
  <c r="E162"/>
  <c r="E165"/>
  <c r="E164"/>
  <c r="E166"/>
  <c r="E167"/>
  <c r="D155"/>
  <c r="D156"/>
  <c r="D159"/>
  <c r="D160"/>
  <c r="D157"/>
  <c r="D158"/>
  <c r="D161"/>
  <c r="D162"/>
  <c r="D165"/>
  <c r="D164"/>
  <c r="D166"/>
  <c r="D167"/>
  <c r="C155"/>
  <c r="C156"/>
  <c r="C159"/>
  <c r="C160"/>
  <c r="C157"/>
  <c r="C158"/>
  <c r="C161"/>
  <c r="C162"/>
  <c r="C165"/>
  <c r="C164"/>
  <c r="C166"/>
  <c r="C167"/>
  <c r="I140"/>
  <c r="I141"/>
  <c r="I144"/>
  <c r="I145"/>
  <c r="I142"/>
  <c r="I143"/>
  <c r="I146"/>
  <c r="I147"/>
  <c r="I150"/>
  <c r="I149"/>
  <c r="I151"/>
  <c r="I152"/>
  <c r="H140"/>
  <c r="H141"/>
  <c r="H144"/>
  <c r="H145"/>
  <c r="H142"/>
  <c r="H143"/>
  <c r="H146"/>
  <c r="H147"/>
  <c r="H150"/>
  <c r="H149"/>
  <c r="H151"/>
  <c r="H152"/>
  <c r="G140"/>
  <c r="G141"/>
  <c r="G144"/>
  <c r="G145"/>
  <c r="G142"/>
  <c r="G143"/>
  <c r="G146"/>
  <c r="G147"/>
  <c r="G150"/>
  <c r="G149"/>
  <c r="G151"/>
  <c r="G152"/>
  <c r="F140"/>
  <c r="F141"/>
  <c r="F144"/>
  <c r="F145"/>
  <c r="F142"/>
  <c r="F143"/>
  <c r="F146"/>
  <c r="F147"/>
  <c r="F150"/>
  <c r="F149"/>
  <c r="F151"/>
  <c r="F152"/>
  <c r="E140"/>
  <c r="E141"/>
  <c r="E144"/>
  <c r="E145"/>
  <c r="E142"/>
  <c r="E143"/>
  <c r="E146"/>
  <c r="E147"/>
  <c r="E150"/>
  <c r="E149"/>
  <c r="E151"/>
  <c r="E152"/>
  <c r="D140"/>
  <c r="D141"/>
  <c r="D144"/>
  <c r="D145"/>
  <c r="D142"/>
  <c r="D143"/>
  <c r="D146"/>
  <c r="D147"/>
  <c r="D150"/>
  <c r="D149"/>
  <c r="D151"/>
  <c r="D152"/>
  <c r="C140"/>
  <c r="C141"/>
  <c r="C144"/>
  <c r="C145"/>
  <c r="C142"/>
  <c r="C143"/>
  <c r="C146"/>
  <c r="C147"/>
  <c r="C150"/>
  <c r="C149"/>
  <c r="C151"/>
  <c r="C152"/>
  <c r="I125"/>
  <c r="I126"/>
  <c r="I129"/>
  <c r="I130"/>
  <c r="I127"/>
  <c r="I128"/>
  <c r="I131"/>
  <c r="I132"/>
  <c r="I135"/>
  <c r="I134"/>
  <c r="I136"/>
  <c r="I137"/>
  <c r="H125"/>
  <c r="H126"/>
  <c r="H129"/>
  <c r="H130"/>
  <c r="H127"/>
  <c r="H128"/>
  <c r="H131"/>
  <c r="H132"/>
  <c r="H135"/>
  <c r="H134"/>
  <c r="H136"/>
  <c r="H137"/>
  <c r="G125"/>
  <c r="G126"/>
  <c r="G129"/>
  <c r="G130"/>
  <c r="G127"/>
  <c r="G128"/>
  <c r="G131"/>
  <c r="G132"/>
  <c r="G135"/>
  <c r="G134"/>
  <c r="G136"/>
  <c r="G137"/>
  <c r="F125"/>
  <c r="F126"/>
  <c r="F129"/>
  <c r="F130"/>
  <c r="F127"/>
  <c r="F128"/>
  <c r="F131"/>
  <c r="F132"/>
  <c r="F135"/>
  <c r="F134"/>
  <c r="F136"/>
  <c r="F137"/>
  <c r="E125"/>
  <c r="E126"/>
  <c r="E129"/>
  <c r="E130"/>
  <c r="E127"/>
  <c r="E128"/>
  <c r="E131"/>
  <c r="E132"/>
  <c r="E135"/>
  <c r="E134"/>
  <c r="E136"/>
  <c r="E137"/>
  <c r="D125"/>
  <c r="D126"/>
  <c r="D129"/>
  <c r="D130"/>
  <c r="D127"/>
  <c r="D128"/>
  <c r="D131"/>
  <c r="D132"/>
  <c r="D135"/>
  <c r="D134"/>
  <c r="D136"/>
  <c r="D137"/>
  <c r="C125"/>
  <c r="C126"/>
  <c r="C129"/>
  <c r="C130"/>
  <c r="C127"/>
  <c r="C128"/>
  <c r="C131"/>
  <c r="C132"/>
  <c r="C135"/>
  <c r="C134"/>
  <c r="C136"/>
  <c r="C137"/>
  <c r="C37" i="22"/>
  <c r="C38"/>
  <c r="C43"/>
  <c r="C44"/>
  <c r="C55"/>
  <c r="C56"/>
  <c r="C49"/>
  <c r="C50"/>
  <c r="C61"/>
  <c r="C62"/>
  <c r="C66"/>
  <c r="B40" i="21"/>
  <c r="C110" i="29"/>
  <c r="C26" i="68"/>
  <c r="C112" i="29"/>
  <c r="D125" i="57"/>
  <c r="D11" i="62"/>
  <c r="C86" i="22"/>
  <c r="B41" i="21"/>
  <c r="C111" i="29"/>
  <c r="B13" i="21"/>
  <c r="B36"/>
  <c r="B38"/>
  <c r="C109" i="29"/>
  <c r="C113"/>
  <c r="C25" i="68"/>
  <c r="C115" i="29"/>
  <c r="C117"/>
  <c r="D38" i="22"/>
  <c r="D44"/>
  <c r="D56"/>
  <c r="D50"/>
  <c r="D62"/>
  <c r="D66"/>
  <c r="C40" i="21"/>
  <c r="D110" i="29"/>
  <c r="D26" i="68"/>
  <c r="D112" i="29"/>
  <c r="D86" i="22"/>
  <c r="C41" i="21"/>
  <c r="D111" i="29"/>
  <c r="C13" i="21"/>
  <c r="C36"/>
  <c r="C38"/>
  <c r="D109" i="29"/>
  <c r="D113"/>
  <c r="D25" i="68"/>
  <c r="D115" i="29"/>
  <c r="D117"/>
  <c r="E38" i="22"/>
  <c r="E44"/>
  <c r="E56"/>
  <c r="E50"/>
  <c r="E62"/>
  <c r="E66"/>
  <c r="D40" i="21"/>
  <c r="E110" i="29"/>
  <c r="G34" i="23"/>
  <c r="C35"/>
  <c r="D35"/>
  <c r="F35"/>
  <c r="E35"/>
  <c r="G35"/>
  <c r="C36"/>
  <c r="D36"/>
  <c r="F36"/>
  <c r="E36"/>
  <c r="G36"/>
  <c r="C37"/>
  <c r="D37"/>
  <c r="F37"/>
  <c r="E37"/>
  <c r="G37"/>
  <c r="C38"/>
  <c r="D38"/>
  <c r="F38"/>
  <c r="E38"/>
  <c r="G38"/>
  <c r="C39"/>
  <c r="D39"/>
  <c r="F39"/>
  <c r="E39"/>
  <c r="G39"/>
  <c r="C40"/>
  <c r="D40"/>
  <c r="F40"/>
  <c r="E40"/>
  <c r="G40"/>
  <c r="C41"/>
  <c r="D41"/>
  <c r="F41"/>
  <c r="E41"/>
  <c r="G41"/>
  <c r="C42"/>
  <c r="D42"/>
  <c r="F42"/>
  <c r="E42"/>
  <c r="G42"/>
  <c r="C43"/>
  <c r="D43"/>
  <c r="F43"/>
  <c r="E43"/>
  <c r="G43"/>
  <c r="C44"/>
  <c r="D44"/>
  <c r="F44"/>
  <c r="E44"/>
  <c r="G44"/>
  <c r="C45"/>
  <c r="D45"/>
  <c r="E26" i="68"/>
  <c r="E112" i="29"/>
  <c r="E86" i="22"/>
  <c r="D41" i="21"/>
  <c r="E111" i="29"/>
  <c r="D13" i="21"/>
  <c r="D36"/>
  <c r="D38"/>
  <c r="E109" i="29"/>
  <c r="E113"/>
  <c r="F45" i="23"/>
  <c r="E45"/>
  <c r="E25" i="68"/>
  <c r="E115" i="29"/>
  <c r="E117"/>
  <c r="F38" i="22"/>
  <c r="F44"/>
  <c r="F56"/>
  <c r="F50"/>
  <c r="F62"/>
  <c r="F66"/>
  <c r="E40" i="21"/>
  <c r="F110" i="29"/>
  <c r="G45" i="23"/>
  <c r="C46"/>
  <c r="D46"/>
  <c r="F46"/>
  <c r="E46"/>
  <c r="G46"/>
  <c r="C47"/>
  <c r="D47"/>
  <c r="F47"/>
  <c r="E47"/>
  <c r="G47"/>
  <c r="C48"/>
  <c r="D48"/>
  <c r="F48"/>
  <c r="E48"/>
  <c r="G48"/>
  <c r="C49"/>
  <c r="D49"/>
  <c r="F49"/>
  <c r="E49"/>
  <c r="G49"/>
  <c r="C50"/>
  <c r="D50"/>
  <c r="F50"/>
  <c r="E50"/>
  <c r="G50"/>
  <c r="C51"/>
  <c r="D51"/>
  <c r="F51"/>
  <c r="E51"/>
  <c r="G51"/>
  <c r="C52"/>
  <c r="D52"/>
  <c r="F52"/>
  <c r="E52"/>
  <c r="G52"/>
  <c r="C53"/>
  <c r="D53"/>
  <c r="F53"/>
  <c r="E53"/>
  <c r="G53"/>
  <c r="C54"/>
  <c r="D54"/>
  <c r="F54"/>
  <c r="E54"/>
  <c r="G54"/>
  <c r="C55"/>
  <c r="D55"/>
  <c r="F55"/>
  <c r="E55"/>
  <c r="G55"/>
  <c r="C56"/>
  <c r="D56"/>
  <c r="F56"/>
  <c r="E56"/>
  <c r="G56"/>
  <c r="C57"/>
  <c r="D57"/>
  <c r="F26" i="68"/>
  <c r="F112" i="29"/>
  <c r="F86" i="22"/>
  <c r="E41" i="21"/>
  <c r="F111" i="29"/>
  <c r="E13" i="21"/>
  <c r="E36"/>
  <c r="E38"/>
  <c r="F109" i="29"/>
  <c r="F113"/>
  <c r="F57" i="23"/>
  <c r="E57"/>
  <c r="F25" i="68"/>
  <c r="F115" i="29"/>
  <c r="F117"/>
  <c r="G38" i="22"/>
  <c r="G44"/>
  <c r="G56"/>
  <c r="G50"/>
  <c r="G62"/>
  <c r="G66"/>
  <c r="F40" i="21"/>
  <c r="G110" i="29"/>
  <c r="G57" i="23"/>
  <c r="C58"/>
  <c r="D58"/>
  <c r="F58"/>
  <c r="E58"/>
  <c r="G58"/>
  <c r="C59"/>
  <c r="D59"/>
  <c r="F59"/>
  <c r="E59"/>
  <c r="G59"/>
  <c r="C60"/>
  <c r="D60"/>
  <c r="F60"/>
  <c r="E60"/>
  <c r="G60"/>
  <c r="C61"/>
  <c r="D61"/>
  <c r="F61"/>
  <c r="E61"/>
  <c r="G61"/>
  <c r="C62"/>
  <c r="D62"/>
  <c r="F62"/>
  <c r="E62"/>
  <c r="G62"/>
  <c r="C63"/>
  <c r="D63"/>
  <c r="F63"/>
  <c r="E63"/>
  <c r="G63"/>
  <c r="C64"/>
  <c r="D64"/>
  <c r="F64"/>
  <c r="E64"/>
  <c r="G64"/>
  <c r="C65"/>
  <c r="D65"/>
  <c r="F65"/>
  <c r="E65"/>
  <c r="G65"/>
  <c r="C66"/>
  <c r="D66"/>
  <c r="F66"/>
  <c r="E66"/>
  <c r="G66"/>
  <c r="C67"/>
  <c r="D67"/>
  <c r="F67"/>
  <c r="E67"/>
  <c r="G67"/>
  <c r="C68"/>
  <c r="D68"/>
  <c r="F68"/>
  <c r="E68"/>
  <c r="G68"/>
  <c r="C69"/>
  <c r="D69"/>
  <c r="G26" i="68"/>
  <c r="G112" i="29"/>
  <c r="G86" i="22"/>
  <c r="F41" i="21"/>
  <c r="G111" i="29"/>
  <c r="F13" i="21"/>
  <c r="F36"/>
  <c r="F38"/>
  <c r="G109" i="29"/>
  <c r="G113"/>
  <c r="F69" i="23"/>
  <c r="E69"/>
  <c r="G25" i="68"/>
  <c r="G115" i="29"/>
  <c r="G117"/>
  <c r="H38" i="22"/>
  <c r="H44"/>
  <c r="H56"/>
  <c r="H50"/>
  <c r="H62"/>
  <c r="H66"/>
  <c r="G40" i="21"/>
  <c r="H110" i="29"/>
  <c r="G69" i="23"/>
  <c r="C70"/>
  <c r="D70"/>
  <c r="F70"/>
  <c r="E70"/>
  <c r="G70"/>
  <c r="C71"/>
  <c r="D71"/>
  <c r="F71"/>
  <c r="E71"/>
  <c r="G71"/>
  <c r="C72"/>
  <c r="D72"/>
  <c r="F72"/>
  <c r="E72"/>
  <c r="G72"/>
  <c r="C73"/>
  <c r="D73"/>
  <c r="F73"/>
  <c r="E73"/>
  <c r="G73"/>
  <c r="C74"/>
  <c r="D74"/>
  <c r="F74"/>
  <c r="E74"/>
  <c r="G74"/>
  <c r="C75"/>
  <c r="D75"/>
  <c r="F75"/>
  <c r="E75"/>
  <c r="G75"/>
  <c r="C76"/>
  <c r="D76"/>
  <c r="F76"/>
  <c r="E76"/>
  <c r="G76"/>
  <c r="C77"/>
  <c r="D77"/>
  <c r="F77"/>
  <c r="E77"/>
  <c r="G77"/>
  <c r="C78"/>
  <c r="D78"/>
  <c r="F78"/>
  <c r="E78"/>
  <c r="G78"/>
  <c r="C79"/>
  <c r="D79"/>
  <c r="F79"/>
  <c r="E79"/>
  <c r="G79"/>
  <c r="C80"/>
  <c r="D80"/>
  <c r="F80"/>
  <c r="E80"/>
  <c r="G80"/>
  <c r="C81"/>
  <c r="D81"/>
  <c r="H26" i="68"/>
  <c r="H112" i="29"/>
  <c r="G13" i="21"/>
  <c r="G36"/>
  <c r="G38"/>
  <c r="H109" i="29"/>
  <c r="G41" i="21"/>
  <c r="H111" i="29"/>
  <c r="H113"/>
  <c r="F81" i="23"/>
  <c r="E81"/>
  <c r="H25" i="68"/>
  <c r="H115" i="29"/>
  <c r="H117"/>
  <c r="I38" i="22"/>
  <c r="I44"/>
  <c r="I56"/>
  <c r="I50"/>
  <c r="I62"/>
  <c r="I66"/>
  <c r="H40" i="21"/>
  <c r="I110" i="29"/>
  <c r="G81" i="23"/>
  <c r="C82"/>
  <c r="D82"/>
  <c r="F82"/>
  <c r="E82"/>
  <c r="G82"/>
  <c r="C83"/>
  <c r="D83"/>
  <c r="F83"/>
  <c r="E83"/>
  <c r="G83"/>
  <c r="C84"/>
  <c r="D84"/>
  <c r="F84"/>
  <c r="E84"/>
  <c r="G84"/>
  <c r="C85"/>
  <c r="D85"/>
  <c r="F85"/>
  <c r="E85"/>
  <c r="G85"/>
  <c r="C86"/>
  <c r="D86"/>
  <c r="F86"/>
  <c r="E86"/>
  <c r="G86"/>
  <c r="C87"/>
  <c r="D87"/>
  <c r="F87"/>
  <c r="E87"/>
  <c r="G87"/>
  <c r="C88"/>
  <c r="D88"/>
  <c r="F88"/>
  <c r="E88"/>
  <c r="G88"/>
  <c r="C89"/>
  <c r="D89"/>
  <c r="F89"/>
  <c r="E89"/>
  <c r="G89"/>
  <c r="C90"/>
  <c r="D90"/>
  <c r="F90"/>
  <c r="E90"/>
  <c r="G90"/>
  <c r="C91"/>
  <c r="D91"/>
  <c r="F91"/>
  <c r="E91"/>
  <c r="G91"/>
  <c r="C92"/>
  <c r="D92"/>
  <c r="F92"/>
  <c r="E92"/>
  <c r="G92"/>
  <c r="C93"/>
  <c r="D93"/>
  <c r="I26" i="68"/>
  <c r="I112" i="29"/>
  <c r="H13" i="21"/>
  <c r="H36"/>
  <c r="H38"/>
  <c r="I109" i="29"/>
  <c r="H41" i="21"/>
  <c r="I111" i="29"/>
  <c r="I113"/>
  <c r="F93" i="23"/>
  <c r="E93"/>
  <c r="I25" i="68"/>
  <c r="I115" i="29"/>
  <c r="I117"/>
  <c r="C119"/>
  <c r="B43" i="21"/>
  <c r="E29" i="61"/>
  <c r="E31"/>
  <c r="E32"/>
  <c r="E34"/>
  <c r="E33"/>
  <c r="E30"/>
  <c r="E36"/>
  <c r="E17"/>
  <c r="E20"/>
  <c r="E37"/>
  <c r="E39"/>
  <c r="E42"/>
  <c r="E44"/>
  <c r="E45"/>
  <c r="E47"/>
  <c r="E46"/>
  <c r="E43"/>
  <c r="E49"/>
  <c r="E50"/>
  <c r="C11" i="68"/>
  <c r="C27"/>
  <c r="C28"/>
  <c r="B45" i="21"/>
  <c r="B47"/>
  <c r="B95" i="22"/>
  <c r="B96"/>
  <c r="K37"/>
  <c r="K38"/>
  <c r="K43"/>
  <c r="K44"/>
  <c r="K55"/>
  <c r="K56"/>
  <c r="K49"/>
  <c r="K50"/>
  <c r="K61"/>
  <c r="K62"/>
  <c r="K66"/>
  <c r="B97"/>
  <c r="B98"/>
  <c r="B99"/>
  <c r="B48" i="21"/>
  <c r="B49"/>
  <c r="D95" i="29"/>
  <c r="D96"/>
  <c r="D97"/>
  <c r="D98"/>
  <c r="E51" i="61"/>
  <c r="D12" i="62"/>
  <c r="D13"/>
  <c r="C94" i="29"/>
  <c r="D99"/>
  <c r="C43" i="21"/>
  <c r="F29" i="61"/>
  <c r="F31"/>
  <c r="F32"/>
  <c r="F34"/>
  <c r="F33"/>
  <c r="F30"/>
  <c r="F36"/>
  <c r="F17"/>
  <c r="F20"/>
  <c r="F37"/>
  <c r="F39"/>
  <c r="F42"/>
  <c r="F44"/>
  <c r="F45"/>
  <c r="F47"/>
  <c r="F46"/>
  <c r="F43"/>
  <c r="F49"/>
  <c r="F50"/>
  <c r="D11" i="68"/>
  <c r="D27"/>
  <c r="D28"/>
  <c r="C45" i="21"/>
  <c r="C47"/>
  <c r="C95" i="22"/>
  <c r="C96"/>
  <c r="K40"/>
  <c r="L37"/>
  <c r="L38"/>
  <c r="K46"/>
  <c r="L43"/>
  <c r="L44"/>
  <c r="K58"/>
  <c r="L55"/>
  <c r="L56"/>
  <c r="K52"/>
  <c r="L49"/>
  <c r="L50"/>
  <c r="K64"/>
  <c r="L61"/>
  <c r="L62"/>
  <c r="L66"/>
  <c r="C97"/>
  <c r="C98"/>
  <c r="C99"/>
  <c r="C48" i="21"/>
  <c r="C49"/>
  <c r="E95" i="29"/>
  <c r="E96"/>
  <c r="E97"/>
  <c r="E98"/>
  <c r="E99"/>
  <c r="D43" i="21"/>
  <c r="G29" i="61"/>
  <c r="G31"/>
  <c r="G32"/>
  <c r="G34"/>
  <c r="G33"/>
  <c r="G30"/>
  <c r="G36"/>
  <c r="G17"/>
  <c r="G20"/>
  <c r="G37"/>
  <c r="G39"/>
  <c r="G42"/>
  <c r="G44"/>
  <c r="G45"/>
  <c r="G47"/>
  <c r="G46"/>
  <c r="G43"/>
  <c r="G49"/>
  <c r="G50"/>
  <c r="E11" i="68"/>
  <c r="E27"/>
  <c r="E28"/>
  <c r="D45" i="21"/>
  <c r="D47"/>
  <c r="D95" i="22"/>
  <c r="D96"/>
  <c r="L40"/>
  <c r="M37"/>
  <c r="M38"/>
  <c r="L46"/>
  <c r="M43"/>
  <c r="M44"/>
  <c r="L58"/>
  <c r="M55"/>
  <c r="M56"/>
  <c r="L52"/>
  <c r="M49"/>
  <c r="M50"/>
  <c r="L64"/>
  <c r="M61"/>
  <c r="M62"/>
  <c r="M66"/>
  <c r="D97"/>
  <c r="D98"/>
  <c r="D99"/>
  <c r="D48" i="21"/>
  <c r="D49"/>
  <c r="F95" i="29"/>
  <c r="F96"/>
  <c r="F97"/>
  <c r="F98"/>
  <c r="F99"/>
  <c r="E43" i="21"/>
  <c r="H29" i="61"/>
  <c r="H31"/>
  <c r="H32"/>
  <c r="H34"/>
  <c r="H33"/>
  <c r="H30"/>
  <c r="H36"/>
  <c r="H17"/>
  <c r="H20"/>
  <c r="H37"/>
  <c r="H39"/>
  <c r="H42"/>
  <c r="H44"/>
  <c r="H45"/>
  <c r="H47"/>
  <c r="H46"/>
  <c r="H43"/>
  <c r="H49"/>
  <c r="H50"/>
  <c r="F11" i="68"/>
  <c r="F27"/>
  <c r="F28"/>
  <c r="E45" i="21"/>
  <c r="E47"/>
  <c r="E95" i="22"/>
  <c r="E96"/>
  <c r="M40"/>
  <c r="N37"/>
  <c r="N38"/>
  <c r="M46"/>
  <c r="N43"/>
  <c r="N44"/>
  <c r="M58"/>
  <c r="N55"/>
  <c r="N56"/>
  <c r="M52"/>
  <c r="N49"/>
  <c r="N50"/>
  <c r="M64"/>
  <c r="N61"/>
  <c r="N62"/>
  <c r="N66"/>
  <c r="E97"/>
  <c r="E98"/>
  <c r="E99"/>
  <c r="E48" i="21"/>
  <c r="E49"/>
  <c r="G95" i="29"/>
  <c r="G96"/>
  <c r="G97"/>
  <c r="G98"/>
  <c r="G99"/>
  <c r="F43" i="21"/>
  <c r="I29" i="61"/>
  <c r="I31"/>
  <c r="I32"/>
  <c r="I34"/>
  <c r="I33"/>
  <c r="I30"/>
  <c r="I36"/>
  <c r="I17"/>
  <c r="I20"/>
  <c r="I37"/>
  <c r="I39"/>
  <c r="I42"/>
  <c r="I44"/>
  <c r="I45"/>
  <c r="I47"/>
  <c r="I46"/>
  <c r="I43"/>
  <c r="I49"/>
  <c r="I50"/>
  <c r="G11" i="68"/>
  <c r="G27"/>
  <c r="G28"/>
  <c r="F45" i="21"/>
  <c r="F47"/>
  <c r="F95" i="22"/>
  <c r="F96"/>
  <c r="N40"/>
  <c r="O37"/>
  <c r="O38"/>
  <c r="N46"/>
  <c r="O43"/>
  <c r="O44"/>
  <c r="N58"/>
  <c r="O55"/>
  <c r="O56"/>
  <c r="N52"/>
  <c r="O49"/>
  <c r="O50"/>
  <c r="N64"/>
  <c r="O61"/>
  <c r="O62"/>
  <c r="O66"/>
  <c r="F97"/>
  <c r="F98"/>
  <c r="F99"/>
  <c r="F48" i="21"/>
  <c r="F49"/>
  <c r="H95" i="29"/>
  <c r="H96"/>
  <c r="H97"/>
  <c r="H98"/>
  <c r="D101"/>
  <c r="H99"/>
  <c r="H43" i="21"/>
  <c r="K29" i="61"/>
  <c r="K31"/>
  <c r="K32"/>
  <c r="K34"/>
  <c r="K33"/>
  <c r="K30"/>
  <c r="K36"/>
  <c r="K17"/>
  <c r="K20"/>
  <c r="K37"/>
  <c r="K39"/>
  <c r="K42"/>
  <c r="K44"/>
  <c r="K45"/>
  <c r="K47"/>
  <c r="K46"/>
  <c r="K43"/>
  <c r="K49"/>
  <c r="K50"/>
  <c r="I11" i="68"/>
  <c r="I27"/>
  <c r="I28"/>
  <c r="H45" i="21"/>
  <c r="H47"/>
  <c r="H95" i="22"/>
  <c r="H96"/>
  <c r="O40"/>
  <c r="P37"/>
  <c r="P38"/>
  <c r="P40"/>
  <c r="Q37"/>
  <c r="Q38"/>
  <c r="O46"/>
  <c r="P43"/>
  <c r="P44"/>
  <c r="P46"/>
  <c r="Q43"/>
  <c r="Q44"/>
  <c r="O58"/>
  <c r="P55"/>
  <c r="P56"/>
  <c r="P58"/>
  <c r="Q55"/>
  <c r="Q56"/>
  <c r="O52"/>
  <c r="P49"/>
  <c r="P50"/>
  <c r="P52"/>
  <c r="Q49"/>
  <c r="Q50"/>
  <c r="O64"/>
  <c r="P61"/>
  <c r="P62"/>
  <c r="P64"/>
  <c r="Q61"/>
  <c r="Q62"/>
  <c r="Q66"/>
  <c r="H97"/>
  <c r="H98"/>
  <c r="H99"/>
  <c r="H48" i="21"/>
  <c r="H49"/>
  <c r="J95" i="29"/>
  <c r="J96"/>
  <c r="J97"/>
  <c r="J98"/>
  <c r="G43" i="21"/>
  <c r="J29" i="61"/>
  <c r="J31"/>
  <c r="J32"/>
  <c r="J34"/>
  <c r="J33"/>
  <c r="J30"/>
  <c r="J36"/>
  <c r="J17"/>
  <c r="J20"/>
  <c r="J37"/>
  <c r="J39"/>
  <c r="J42"/>
  <c r="J44"/>
  <c r="J45"/>
  <c r="J47"/>
  <c r="J46"/>
  <c r="J43"/>
  <c r="J49"/>
  <c r="J50"/>
  <c r="H11" i="68"/>
  <c r="H27"/>
  <c r="H28"/>
  <c r="G45" i="21"/>
  <c r="G47"/>
  <c r="G95" i="22"/>
  <c r="G96"/>
  <c r="P66"/>
  <c r="G97"/>
  <c r="G98"/>
  <c r="G99"/>
  <c r="G48" i="21"/>
  <c r="G49"/>
  <c r="I95" i="29"/>
  <c r="I96"/>
  <c r="I97"/>
  <c r="I98"/>
  <c r="B98"/>
  <c r="B97"/>
  <c r="B96"/>
  <c r="B95"/>
  <c r="C80"/>
  <c r="D80"/>
  <c r="E80"/>
  <c r="F80"/>
  <c r="G80"/>
  <c r="H80"/>
  <c r="I80"/>
  <c r="C82"/>
  <c r="C83"/>
  <c r="C85"/>
  <c r="C58"/>
  <c r="C60"/>
  <c r="C61"/>
  <c r="C63"/>
  <c r="C65"/>
  <c r="C67"/>
  <c r="D58"/>
  <c r="D60"/>
  <c r="D61"/>
  <c r="D63"/>
  <c r="D65"/>
  <c r="D67"/>
  <c r="E58"/>
  <c r="E60"/>
  <c r="E61"/>
  <c r="E63"/>
  <c r="E65"/>
  <c r="E67"/>
  <c r="F58"/>
  <c r="F60"/>
  <c r="F61"/>
  <c r="F63"/>
  <c r="F65"/>
  <c r="F67"/>
  <c r="G58"/>
  <c r="G60"/>
  <c r="G61"/>
  <c r="G63"/>
  <c r="G65"/>
  <c r="G67"/>
  <c r="H58"/>
  <c r="H60"/>
  <c r="H61"/>
  <c r="H63"/>
  <c r="H65"/>
  <c r="H67"/>
  <c r="I58"/>
  <c r="I60"/>
  <c r="I61"/>
  <c r="I63"/>
  <c r="I65"/>
  <c r="I67"/>
  <c r="C69"/>
  <c r="C71"/>
  <c r="C73"/>
  <c r="C45"/>
  <c r="C32"/>
  <c r="C33"/>
  <c r="C36"/>
  <c r="C37"/>
  <c r="C34"/>
  <c r="C35"/>
  <c r="C39"/>
  <c r="C41"/>
  <c r="C43"/>
  <c r="C47"/>
  <c r="D45"/>
  <c r="D32"/>
  <c r="D33"/>
  <c r="D36"/>
  <c r="D37"/>
  <c r="D34"/>
  <c r="D35"/>
  <c r="D39"/>
  <c r="D41"/>
  <c r="D43"/>
  <c r="D47"/>
  <c r="E45"/>
  <c r="E32"/>
  <c r="E33"/>
  <c r="E36"/>
  <c r="E37"/>
  <c r="E34"/>
  <c r="E35"/>
  <c r="E39"/>
  <c r="E41"/>
  <c r="E43"/>
  <c r="E47"/>
  <c r="F45"/>
  <c r="F32"/>
  <c r="F33"/>
  <c r="F36"/>
  <c r="F37"/>
  <c r="F34"/>
  <c r="F35"/>
  <c r="F39"/>
  <c r="F41"/>
  <c r="F43"/>
  <c r="F47"/>
  <c r="G45"/>
  <c r="G32"/>
  <c r="G33"/>
  <c r="G36"/>
  <c r="G37"/>
  <c r="G34"/>
  <c r="G35"/>
  <c r="G39"/>
  <c r="G41"/>
  <c r="G43"/>
  <c r="G47"/>
  <c r="H45"/>
  <c r="H32"/>
  <c r="H33"/>
  <c r="H36"/>
  <c r="H37"/>
  <c r="H34"/>
  <c r="H35"/>
  <c r="H39"/>
  <c r="H41"/>
  <c r="H43"/>
  <c r="H47"/>
  <c r="I45"/>
  <c r="I32"/>
  <c r="I33"/>
  <c r="I36"/>
  <c r="I37"/>
  <c r="I34"/>
  <c r="I35"/>
  <c r="I39"/>
  <c r="I41"/>
  <c r="I43"/>
  <c r="I47"/>
  <c r="C49"/>
  <c r="B37"/>
  <c r="B36"/>
  <c r="B35"/>
  <c r="B34"/>
  <c r="B33"/>
  <c r="B32"/>
  <c r="D9"/>
  <c r="D11"/>
  <c r="D12"/>
  <c r="D14"/>
  <c r="C15"/>
  <c r="D15"/>
  <c r="E9"/>
  <c r="E11"/>
  <c r="E12"/>
  <c r="E14"/>
  <c r="E15"/>
  <c r="F9"/>
  <c r="F11"/>
  <c r="F12"/>
  <c r="F14"/>
  <c r="F15"/>
  <c r="G9"/>
  <c r="G11"/>
  <c r="G12"/>
  <c r="G14"/>
  <c r="G15"/>
  <c r="H9"/>
  <c r="H11"/>
  <c r="H12"/>
  <c r="H14"/>
  <c r="H15"/>
  <c r="I9"/>
  <c r="I11"/>
  <c r="I12"/>
  <c r="I14"/>
  <c r="I15"/>
  <c r="J9"/>
  <c r="J11"/>
  <c r="J12"/>
  <c r="J14"/>
  <c r="J15"/>
  <c r="C16"/>
  <c r="D18"/>
  <c r="D19"/>
  <c r="E18"/>
  <c r="E19"/>
  <c r="F18"/>
  <c r="F19"/>
  <c r="G18"/>
  <c r="G19"/>
  <c r="H18"/>
  <c r="H19"/>
  <c r="I18"/>
  <c r="I19"/>
  <c r="J18"/>
  <c r="J19"/>
  <c r="D20"/>
  <c r="D22"/>
  <c r="F23"/>
  <c r="I29" i="68"/>
  <c r="I22"/>
  <c r="I23"/>
  <c r="I30"/>
  <c r="I6"/>
  <c r="I12"/>
  <c r="I31"/>
  <c r="H29"/>
  <c r="H22"/>
  <c r="H23"/>
  <c r="H30"/>
  <c r="H6"/>
  <c r="H12"/>
  <c r="H31"/>
  <c r="G29"/>
  <c r="G22"/>
  <c r="G23"/>
  <c r="G30"/>
  <c r="G6"/>
  <c r="G12"/>
  <c r="G31"/>
  <c r="F29"/>
  <c r="F22"/>
  <c r="F23"/>
  <c r="F30"/>
  <c r="F6"/>
  <c r="F12"/>
  <c r="F31"/>
  <c r="E29"/>
  <c r="E22"/>
  <c r="E23"/>
  <c r="E30"/>
  <c r="E6"/>
  <c r="E12"/>
  <c r="E31"/>
  <c r="D29"/>
  <c r="D22"/>
  <c r="D23"/>
  <c r="D30"/>
  <c r="D6"/>
  <c r="D12"/>
  <c r="D31"/>
  <c r="F6" i="62"/>
  <c r="F7"/>
  <c r="F10"/>
  <c r="F11"/>
  <c r="F8"/>
  <c r="F9"/>
  <c r="F13"/>
  <c r="E20"/>
  <c r="E22"/>
  <c r="C7" i="68"/>
  <c r="C9"/>
  <c r="C10"/>
  <c r="C6"/>
  <c r="C12"/>
  <c r="C15"/>
  <c r="C29"/>
  <c r="C16"/>
  <c r="C19"/>
  <c r="C20"/>
  <c r="C22"/>
  <c r="C23"/>
  <c r="C17"/>
  <c r="C18"/>
  <c r="C30"/>
  <c r="C31"/>
  <c r="C33"/>
  <c r="D32"/>
  <c r="D33"/>
  <c r="E32"/>
  <c r="E33"/>
  <c r="F32"/>
  <c r="F33"/>
  <c r="G32"/>
  <c r="G33"/>
  <c r="H32"/>
  <c r="H33"/>
  <c r="I32"/>
  <c r="I33"/>
  <c r="B16"/>
  <c r="B15"/>
  <c r="B9"/>
  <c r="B32" i="69"/>
  <c r="C32"/>
  <c r="D32"/>
  <c r="E32"/>
  <c r="F32"/>
  <c r="G32"/>
  <c r="H32"/>
  <c r="B50" i="21"/>
  <c r="B36" i="69"/>
  <c r="B38"/>
  <c r="C35"/>
  <c r="C36"/>
  <c r="C38"/>
  <c r="D35"/>
  <c r="D36"/>
  <c r="D38"/>
  <c r="E35"/>
  <c r="E36"/>
  <c r="E38"/>
  <c r="F35"/>
  <c r="F36"/>
  <c r="F38"/>
  <c r="G35"/>
  <c r="G36"/>
  <c r="G38"/>
  <c r="H35"/>
  <c r="H36"/>
  <c r="H38"/>
  <c r="B33"/>
  <c r="C33"/>
  <c r="D33"/>
  <c r="E33"/>
  <c r="F33"/>
  <c r="G33"/>
  <c r="H33"/>
  <c r="H40"/>
  <c r="H26"/>
  <c r="H27"/>
  <c r="H30"/>
  <c r="H42"/>
  <c r="H7"/>
  <c r="H10"/>
  <c r="C40" i="22"/>
  <c r="D37"/>
  <c r="D40"/>
  <c r="E37"/>
  <c r="E40"/>
  <c r="F37"/>
  <c r="F40"/>
  <c r="G37"/>
  <c r="G40"/>
  <c r="H37"/>
  <c r="H40"/>
  <c r="I37"/>
  <c r="C46"/>
  <c r="D43"/>
  <c r="D46"/>
  <c r="E43"/>
  <c r="E46"/>
  <c r="F43"/>
  <c r="F46"/>
  <c r="G43"/>
  <c r="G46"/>
  <c r="H43"/>
  <c r="H46"/>
  <c r="I43"/>
  <c r="C58"/>
  <c r="D55"/>
  <c r="D58"/>
  <c r="E55"/>
  <c r="E58"/>
  <c r="F55"/>
  <c r="F58"/>
  <c r="G55"/>
  <c r="G58"/>
  <c r="H55"/>
  <c r="H58"/>
  <c r="I55"/>
  <c r="C52"/>
  <c r="D49"/>
  <c r="D52"/>
  <c r="E49"/>
  <c r="E52"/>
  <c r="F49"/>
  <c r="F52"/>
  <c r="G49"/>
  <c r="G52"/>
  <c r="H49"/>
  <c r="H52"/>
  <c r="I49"/>
  <c r="C64"/>
  <c r="D61"/>
  <c r="D64"/>
  <c r="E61"/>
  <c r="E64"/>
  <c r="F61"/>
  <c r="F64"/>
  <c r="G61"/>
  <c r="G64"/>
  <c r="H61"/>
  <c r="H64"/>
  <c r="I61"/>
  <c r="I65"/>
  <c r="H12" i="69"/>
  <c r="H13"/>
  <c r="H14"/>
  <c r="B17"/>
  <c r="C17"/>
  <c r="D17"/>
  <c r="E17"/>
  <c r="F17"/>
  <c r="G17"/>
  <c r="H17"/>
  <c r="H19"/>
  <c r="H45"/>
  <c r="G27"/>
  <c r="G26"/>
  <c r="G30"/>
  <c r="G40"/>
  <c r="G42"/>
  <c r="G7"/>
  <c r="G10"/>
  <c r="H65" i="22"/>
  <c r="G12" i="69"/>
  <c r="G13"/>
  <c r="G14"/>
  <c r="G19"/>
  <c r="G45"/>
  <c r="F27"/>
  <c r="F26"/>
  <c r="F30"/>
  <c r="F40"/>
  <c r="F42"/>
  <c r="F7"/>
  <c r="F10"/>
  <c r="G65" i="22"/>
  <c r="F12" i="69"/>
  <c r="F13"/>
  <c r="F14"/>
  <c r="F19"/>
  <c r="F45"/>
  <c r="E27"/>
  <c r="E26"/>
  <c r="E30"/>
  <c r="E40"/>
  <c r="E42"/>
  <c r="E7"/>
  <c r="E10"/>
  <c r="F65" i="22"/>
  <c r="E12" i="69"/>
  <c r="E13"/>
  <c r="E14"/>
  <c r="E19"/>
  <c r="E45"/>
  <c r="D27"/>
  <c r="D26"/>
  <c r="D30"/>
  <c r="D40"/>
  <c r="D42"/>
  <c r="D7"/>
  <c r="D10"/>
  <c r="E65" i="22"/>
  <c r="D12" i="69"/>
  <c r="D13"/>
  <c r="D14"/>
  <c r="D19"/>
  <c r="D45"/>
  <c r="C27"/>
  <c r="C26"/>
  <c r="C30"/>
  <c r="C40"/>
  <c r="C42"/>
  <c r="C7"/>
  <c r="C10"/>
  <c r="D65" i="22"/>
  <c r="C12" i="69"/>
  <c r="C13"/>
  <c r="C14"/>
  <c r="C19"/>
  <c r="C45"/>
  <c r="B27"/>
  <c r="B26"/>
  <c r="B30"/>
  <c r="B40"/>
  <c r="B42"/>
  <c r="B7"/>
  <c r="B10"/>
  <c r="C65" i="22"/>
  <c r="B12" i="69"/>
  <c r="B13"/>
  <c r="B14"/>
  <c r="B19"/>
  <c r="B45"/>
  <c r="C50" i="21"/>
  <c r="D50"/>
  <c r="E50"/>
  <c r="F50"/>
  <c r="G50"/>
  <c r="H50"/>
  <c r="J38"/>
  <c r="J39"/>
  <c r="J40"/>
  <c r="A21"/>
  <c r="A31"/>
  <c r="A20"/>
  <c r="A30"/>
  <c r="A19"/>
  <c r="A29"/>
  <c r="A18"/>
  <c r="A28"/>
  <c r="A17"/>
  <c r="A27"/>
  <c r="A16"/>
  <c r="A26"/>
  <c r="C47" i="61"/>
  <c r="C46"/>
  <c r="C45"/>
  <c r="C44"/>
  <c r="C43"/>
  <c r="C42"/>
  <c r="C16"/>
  <c r="V10"/>
  <c r="V7"/>
  <c r="V8"/>
  <c r="V9"/>
  <c r="V11"/>
  <c r="V12"/>
  <c r="V15"/>
  <c r="O9"/>
  <c r="P9"/>
  <c r="Q9"/>
  <c r="R9"/>
  <c r="O10"/>
  <c r="P10"/>
  <c r="Q10"/>
  <c r="R10"/>
  <c r="R7"/>
  <c r="O8"/>
  <c r="P8"/>
  <c r="Q8"/>
  <c r="R8"/>
  <c r="O11"/>
  <c r="P11"/>
  <c r="Q11"/>
  <c r="R11"/>
  <c r="O12"/>
  <c r="P12"/>
  <c r="Q12"/>
  <c r="R12"/>
  <c r="R15"/>
  <c r="Q7"/>
  <c r="Q15"/>
  <c r="P7"/>
  <c r="P15"/>
  <c r="O7"/>
  <c r="O15"/>
  <c r="C15"/>
  <c r="C14"/>
  <c r="U12"/>
  <c r="N12"/>
  <c r="U11"/>
  <c r="N11"/>
  <c r="K8"/>
  <c r="K11"/>
  <c r="J8"/>
  <c r="J11"/>
  <c r="I8"/>
  <c r="I11"/>
  <c r="H8"/>
  <c r="H11"/>
  <c r="G8"/>
  <c r="G11"/>
  <c r="F8"/>
  <c r="F11"/>
  <c r="U10"/>
  <c r="N10"/>
  <c r="U9"/>
  <c r="N9"/>
  <c r="U8"/>
  <c r="N8"/>
  <c r="C8"/>
  <c r="E94" i="23"/>
  <c r="D94"/>
  <c r="G93"/>
  <c r="I87" i="22"/>
  <c r="H87"/>
  <c r="G87"/>
  <c r="F87"/>
  <c r="E87"/>
  <c r="D87"/>
  <c r="C87"/>
  <c r="Q40"/>
  <c r="Q46"/>
  <c r="Q58"/>
  <c r="Q52"/>
  <c r="Q64"/>
  <c r="Q68"/>
  <c r="P68"/>
  <c r="O68"/>
  <c r="N68"/>
  <c r="M68"/>
  <c r="L68"/>
  <c r="K68"/>
  <c r="I40"/>
  <c r="I46"/>
  <c r="I58"/>
  <c r="I52"/>
  <c r="I64"/>
  <c r="I68"/>
  <c r="H68"/>
  <c r="G68"/>
  <c r="F68"/>
  <c r="E68"/>
  <c r="D68"/>
  <c r="C68"/>
  <c r="K39"/>
  <c r="L39"/>
  <c r="M39"/>
  <c r="N39"/>
  <c r="O39"/>
  <c r="P39"/>
  <c r="Q39"/>
  <c r="K45"/>
  <c r="L45"/>
  <c r="M45"/>
  <c r="N45"/>
  <c r="O45"/>
  <c r="P45"/>
  <c r="Q45"/>
  <c r="K57"/>
  <c r="L57"/>
  <c r="M57"/>
  <c r="N57"/>
  <c r="O57"/>
  <c r="P57"/>
  <c r="Q57"/>
  <c r="K51"/>
  <c r="L51"/>
  <c r="M51"/>
  <c r="N51"/>
  <c r="O51"/>
  <c r="P51"/>
  <c r="Q51"/>
  <c r="K63"/>
  <c r="L63"/>
  <c r="M63"/>
  <c r="N63"/>
  <c r="O63"/>
  <c r="P63"/>
  <c r="Q63"/>
  <c r="Q67"/>
  <c r="P67"/>
  <c r="O67"/>
  <c r="N67"/>
  <c r="M67"/>
  <c r="L67"/>
  <c r="K67"/>
  <c r="C39"/>
  <c r="D39"/>
  <c r="E39"/>
  <c r="F39"/>
  <c r="G39"/>
  <c r="H39"/>
  <c r="I39"/>
  <c r="C45"/>
  <c r="D45"/>
  <c r="E45"/>
  <c r="F45"/>
  <c r="G45"/>
  <c r="H45"/>
  <c r="I45"/>
  <c r="C57"/>
  <c r="D57"/>
  <c r="E57"/>
  <c r="F57"/>
  <c r="G57"/>
  <c r="H57"/>
  <c r="I57"/>
  <c r="C51"/>
  <c r="D51"/>
  <c r="E51"/>
  <c r="F51"/>
  <c r="G51"/>
  <c r="H51"/>
  <c r="I51"/>
  <c r="C63"/>
  <c r="D63"/>
  <c r="E63"/>
  <c r="F63"/>
  <c r="G63"/>
  <c r="H63"/>
  <c r="I63"/>
  <c r="I67"/>
  <c r="H67"/>
  <c r="G67"/>
  <c r="F67"/>
  <c r="E67"/>
  <c r="D67"/>
  <c r="C67"/>
  <c r="Q65"/>
  <c r="P65"/>
  <c r="O65"/>
  <c r="N65"/>
  <c r="M65"/>
  <c r="L65"/>
  <c r="K65"/>
  <c r="A64"/>
  <c r="A63"/>
  <c r="A62"/>
  <c r="A61"/>
  <c r="H69" i="57"/>
  <c r="G49"/>
  <c r="H32"/>
  <c r="D34" i="62"/>
  <c r="D33"/>
  <c r="D32"/>
  <c r="D31"/>
  <c r="D30"/>
  <c r="D29"/>
  <c r="E23"/>
  <c r="M16"/>
  <c r="M18"/>
  <c r="C11"/>
  <c r="C10"/>
  <c r="C9"/>
  <c r="C8"/>
  <c r="C7"/>
  <c r="C6"/>
</calcChain>
</file>

<file path=xl/sharedStrings.xml><?xml version="1.0" encoding="utf-8"?>
<sst xmlns="http://schemas.openxmlformats.org/spreadsheetml/2006/main" count="1424" uniqueCount="727">
  <si>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</si>
  <si>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</si>
  <si>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</si>
  <si>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</si>
  <si>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</si>
  <si>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</si>
  <si>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</si>
  <si>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</si>
  <si>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</si>
  <si>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</si>
  <si>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</si>
  <si>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</si>
  <si>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</si>
  <si>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</si>
  <si>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</si>
  <si>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</si>
  <si>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</si>
  <si>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</si>
  <si>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</si>
  <si>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</si>
  <si>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</si>
  <si>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</si>
  <si>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</si>
  <si>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</si>
  <si>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</si>
  <si>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</si>
  <si>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</si>
  <si>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</si>
  <si>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</si>
  <si>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</si>
  <si>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</si>
  <si>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</si>
  <si>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</si>
  <si>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</si>
  <si>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</si>
  <si>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</si>
  <si>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</si>
  <si>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</si>
  <si>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</si>
  <si>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</si>
  <si>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</si>
  <si>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</si>
  <si>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</si>
  <si>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</si>
  <si>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</si>
  <si>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</si>
  <si>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</si>
  <si>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</si>
  <si>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</si>
  <si>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</si>
  <si>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</si>
  <si>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</si>
  <si>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</si>
  <si>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</si>
  <si>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</si>
  <si>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</si>
  <si>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</si>
  <si>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</si>
  <si>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</si>
  <si>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</si>
  <si>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</si>
  <si>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</si>
  <si>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</si>
  <si>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</si>
  <si>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</si>
  <si>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</si>
  <si>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</si>
  <si>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</si>
  <si>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</si>
  <si>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</si>
  <si>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</si>
  <si>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</si>
  <si>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</si>
  <si>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</si>
  <si>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</si>
  <si>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</si>
  <si>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</si>
  <si>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</si>
  <si>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</si>
  <si>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</si>
  <si>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</si>
  <si>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</si>
  <si>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</si>
  <si>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</si>
  <si>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</si>
  <si>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</si>
  <si>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</si>
  <si>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</si>
  <si>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</si>
  <si>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</si>
  <si>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</si>
  <si>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</si>
  <si>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</si>
  <si>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</si>
  <si>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</si>
  <si>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</si>
  <si>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</si>
  <si>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</si>
  <si>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</si>
  <si>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</si>
  <si>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</si>
  <si>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</si>
  <si>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</si>
  <si>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</si>
  <si>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</si>
  <si>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</si>
  <si>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</si>
  <si>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</si>
  <si>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</si>
  <si>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</si>
  <si>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</si>
  <si>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</si>
  <si>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</si>
  <si>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</si>
  <si>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</si>
  <si>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</si>
  <si>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</si>
  <si>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</si>
  <si>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</si>
  <si>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</si>
  <si>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</si>
  <si>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</si>
  <si>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</si>
  <si>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</si>
  <si>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</si>
  <si>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</si>
  <si>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</si>
  <si>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</si>
  <si>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</si>
  <si>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</si>
  <si>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</si>
  <si>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</si>
  <si>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</si>
  <si>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</si>
  <si>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</si>
  <si>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</si>
  <si>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</si>
  <si>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</si>
  <si>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</si>
  <si>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</si>
  <si>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</si>
  <si>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</si>
  <si>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</si>
  <si>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</si>
  <si>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</si>
  <si>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</si>
  <si>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</si>
  <si>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</si>
  <si>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</si>
  <si>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</si>
  <si>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</si>
  <si>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</si>
  <si>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</si>
  <si>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</si>
  <si>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</si>
  <si>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</si>
  <si>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</si>
  <si>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</si>
  <si>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</si>
  <si>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</si>
  <si>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</si>
  <si>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</si>
  <si>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</si>
  <si>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</si>
  <si>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</si>
  <si>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</si>
  <si>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</si>
  <si>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</si>
  <si>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</si>
  <si>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</si>
  <si>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</si>
  <si>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</si>
  <si>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</si>
  <si>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</si>
  <si>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</si>
  <si>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</si>
  <si>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</si>
  <si>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</si>
  <si>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</si>
  <si>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</si>
  <si>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</si>
  <si>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</si>
  <si>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</si>
  <si>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</si>
  <si>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</si>
  <si>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</si>
  <si>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</si>
  <si>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</si>
  <si>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</si>
  <si>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</si>
  <si>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</si>
  <si>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</si>
  <si>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</si>
  <si>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</si>
  <si>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</si>
  <si>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</si>
  <si>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</si>
  <si>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</si>
  <si>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</si>
  <si>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</si>
  <si>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</si>
  <si>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</si>
  <si>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</si>
  <si>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</si>
  <si>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</si>
  <si>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</si>
  <si>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</si>
  <si>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</si>
  <si>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</si>
  <si>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</si>
  <si>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</si>
  <si>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</si>
  <si>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</si>
  <si>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</si>
  <si>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</si>
  <si>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</si>
  <si>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</si>
  <si>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</si>
  <si>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</si>
  <si>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</si>
  <si>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</si>
  <si>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</si>
  <si>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</si>
  <si>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</si>
  <si>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</si>
  <si>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</si>
  <si>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</si>
  <si>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</si>
  <si>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</si>
  <si>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</si>
  <si>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</si>
  <si>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</si>
  <si>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</si>
  <si>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</si>
  <si>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</si>
  <si>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</si>
  <si>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</si>
  <si>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</si>
  <si>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</si>
  <si>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</si>
  <si>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</si>
  <si>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</si>
  <si>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</si>
  <si>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</si>
  <si>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</si>
  <si>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</si>
  <si>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</si>
  <si>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</si>
  <si>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</si>
  <si>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</si>
  <si>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</si>
  <si>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</si>
  <si>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</si>
  <si>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</si>
  <si>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</si>
  <si>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</si>
  <si>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</si>
  <si>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</si>
  <si>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</si>
  <si>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</si>
  <si>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</si>
  <si>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</si>
  <si>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</si>
  <si>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</si>
  <si>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</si>
  <si>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</si>
  <si>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</si>
  <si>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</si>
  <si>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</si>
  <si>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</si>
  <si>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</si>
  <si>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</si>
  <si>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</si>
  <si>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</si>
  <si>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</si>
  <si>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</si>
  <si>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</si>
  <si>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</si>
  <si>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</si>
  <si>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</si>
  <si>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</si>
  <si>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</si>
  <si>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</si>
  <si>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</si>
  <si>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</si>
  <si>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</si>
  <si>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</si>
  <si>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</si>
  <si>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</si>
  <si>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</si>
  <si>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</si>
  <si>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</si>
  <si>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</si>
  <si>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</si>
  <si>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</si>
  <si>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</si>
  <si>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</si>
  <si>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</si>
  <si>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</si>
  <si>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</si>
  <si>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</si>
  <si>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</si>
  <si>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</si>
  <si>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</si>
  <si>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</si>
  <si>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</si>
  <si>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</si>
  <si>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</si>
  <si>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</si>
  <si>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</si>
  <si>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</si>
  <si>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</si>
  <si>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</si>
  <si>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</si>
  <si>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</si>
  <si>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</si>
  <si>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</si>
  <si>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</si>
  <si>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</si>
  <si>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</si>
  <si>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</si>
  <si>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</si>
  <si>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</si>
  <si>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</si>
  <si>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</si>
  <si>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</si>
  <si>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</si>
  <si>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</si>
  <si>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</si>
  <si>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</si>
  <si>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</si>
  <si>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</si>
  <si>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</si>
  <si>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</si>
  <si>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</si>
  <si>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</si>
  <si>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</si>
  <si>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</si>
  <si>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</si>
  <si>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</si>
  <si>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</si>
  <si>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</si>
  <si>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</si>
  <si>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</si>
  <si>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</si>
  <si>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</si>
  <si>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</si>
  <si>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</si>
  <si>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</si>
  <si>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</si>
  <si>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</si>
  <si>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</si>
  <si>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</si>
  <si>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</si>
  <si>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</si>
  <si>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</si>
  <si>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</si>
  <si>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</si>
  <si>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</si>
  <si>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</si>
  <si>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</si>
  <si>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</si>
  <si>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</si>
  <si>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</si>
  <si>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</si>
  <si>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</si>
  <si>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</si>
  <si>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</si>
  <si>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</si>
  <si>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</si>
  <si>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</si>
  <si>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</si>
  <si>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</si>
  <si>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</si>
  <si>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</si>
  <si>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</si>
  <si>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</si>
  <si>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</si>
  <si>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</si>
  <si>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</si>
  <si>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</si>
  <si>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</si>
  <si>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</si>
  <si>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</si>
  <si>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</si>
  <si>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</si>
  <si>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</si>
  <si>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</si>
  <si>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</si>
  <si>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</si>
  <si>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</si>
  <si>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</si>
  <si>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</si>
  <si>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</si>
  <si>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</si>
  <si>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</si>
  <si>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</si>
  <si>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</si>
  <si>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</si>
  <si>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</si>
  <si>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</si>
  <si>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</si>
  <si>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</si>
  <si>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</si>
  <si>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</si>
  <si>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</si>
  <si>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</si>
  <si>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</si>
  <si>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</si>
  <si>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</si>
  <si>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</si>
  <si>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</si>
  <si>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</si>
  <si>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</si>
  <si>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</si>
  <si>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</si>
  <si>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</si>
  <si>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</si>
  <si>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</si>
  <si>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</si>
  <si>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</si>
  <si>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</si>
  <si>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</si>
  <si>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</si>
  <si>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</si>
  <si>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</si>
  <si>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</si>
  <si>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</si>
  <si>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</si>
  <si>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</si>
  <si>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</si>
  <si>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</si>
  <si>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</si>
  <si>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</si>
  <si>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</si>
  <si>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</si>
  <si>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</si>
  <si>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</si>
  <si>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</si>
  <si>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</si>
  <si>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</si>
  <si>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</si>
  <si>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</si>
  <si>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</si>
  <si>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</si>
  <si>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</si>
  <si>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</si>
  <si>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</si>
  <si>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</si>
  <si>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</si>
  <si>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</si>
  <si>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</si>
  <si>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</si>
  <si>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</si>
  <si>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</si>
  <si>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</si>
  <si>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</si>
  <si>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</si>
  <si>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</si>
  <si>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</si>
  <si>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</si>
  <si>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</si>
  <si>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</si>
  <si>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</si>
  <si>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</si>
  <si>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</si>
  <si>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</si>
  <si>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</si>
  <si>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</si>
  <si>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</si>
  <si>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</si>
  <si>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</si>
  <si>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</si>
  <si>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</si>
  <si>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</si>
  <si>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</si>
  <si>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</si>
  <si>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</si>
  <si>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</si>
  <si>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</si>
  <si>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</si>
  <si>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</si>
  <si>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</si>
  <si>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</si>
  <si>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</si>
  <si>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</si>
  <si>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</si>
  <si>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</si>
  <si>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</si>
  <si>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</si>
  <si>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</si>
  <si>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</si>
  <si>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</si>
  <si>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</si>
  <si>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</si>
  <si>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</si>
  <si>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</si>
  <si>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</si>
  <si>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</si>
  <si>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</si>
  <si>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</si>
  <si>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</si>
  <si>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</si>
  <si>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</si>
  <si>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</si>
  <si>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</si>
  <si>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</si>
  <si>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</si>
  <si>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</si>
  <si>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</si>
  <si>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</si>
  <si>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</si>
  <si>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</si>
  <si>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</si>
  <si>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</si>
  <si>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</si>
  <si>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</si>
  <si>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</si>
  <si>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</si>
  <si>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</si>
  <si>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</si>
  <si>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</si>
  <si>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</si>
  <si>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</si>
  <si>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</si>
  <si>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</si>
  <si>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</si>
  <si>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</si>
  <si>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</si>
  <si>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</si>
  <si>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</si>
  <si>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</si>
  <si>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</si>
  <si>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</si>
  <si>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</si>
  <si>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</si>
  <si>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</si>
  <si>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</si>
  <si>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</si>
  <si>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</si>
  <si>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</si>
  <si>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</si>
  <si>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</si>
  <si>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</si>
  <si>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</si>
  <si>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</si>
  <si>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</si>
  <si>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</si>
  <si>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</si>
  <si>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</si>
  <si>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</si>
  <si>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</si>
  <si>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</si>
  <si>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</si>
  <si>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</si>
  <si>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</si>
  <si>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</si>
  <si>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</si>
  <si>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</si>
  <si>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</si>
  <si>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</si>
  <si>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</si>
  <si>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</si>
  <si>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</si>
  <si>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</si>
  <si>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</si>
  <si>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</si>
  <si>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</si>
  <si>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</si>
  <si>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</si>
  <si>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</si>
  <si>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</si>
  <si>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</si>
  <si>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</si>
  <si>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</si>
  <si>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</si>
  <si>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</si>
  <si>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</si>
  <si>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</si>
  <si>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</si>
  <si>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</si>
  <si>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</si>
  <si>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</si>
  <si>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</si>
  <si>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</si>
  <si>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</si>
  <si>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</si>
  <si>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</si>
  <si>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</si>
  <si>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</si>
  <si>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</si>
  <si>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</si>
  <si>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</si>
  <si>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</si>
  <si>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</si>
  <si>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</si>
  <si>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</si>
  <si>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</si>
  <si>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</si>
  <si>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</si>
  <si>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</si>
  <si>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</si>
  <si>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</si>
  <si>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</si>
  <si>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</si>
  <si>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</si>
  <si>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</si>
  <si>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</si>
  <si>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</si>
  <si>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</si>
  <si>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</si>
  <si>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</si>
  <si>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</si>
  <si>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</si>
  <si>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</si>
  <si>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</si>
  <si>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</si>
  <si>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</si>
  <si>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</si>
  <si>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</si>
  <si>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</si>
  <si>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</si>
  <si>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</si>
  <si>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</si>
  <si>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</si>
  <si>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</si>
  <si>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</si>
  <si>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</si>
  <si>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</si>
  <si>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</si>
  <si>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</si>
  <si>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</si>
  <si>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</si>
  <si>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</si>
  <si>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</si>
  <si>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</si>
  <si>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</si>
  <si>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</si>
  <si>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</si>
  <si>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</si>
  <si>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</si>
  <si>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</si>
  <si>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</si>
  <si>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</si>
  <si>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</si>
  <si>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</si>
  <si>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</si>
  <si>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</si>
  <si>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</si>
  <si>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</si>
  <si>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</si>
  <si>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</si>
  <si>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</si>
  <si>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</si>
  <si>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</si>
  <si>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</si>
  <si>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</si>
  <si>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</si>
  <si>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</si>
  <si>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</si>
  <si>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</si>
  <si>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</si>
  <si>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</si>
  <si>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</si>
  <si>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</si>
  <si>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</si>
  <si>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</si>
  <si>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</si>
  <si>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</si>
  <si>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</si>
  <si>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</si>
  <si>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</si>
  <si>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</si>
  <si>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</si>
  <si>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</si>
  <si>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</si>
  <si>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</si>
  <si>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</si>
  <si>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</si>
  <si>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</si>
  <si>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</si>
  <si>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Office Furniture &amp; Fixtures</t>
  </si>
  <si>
    <t>Computer and IT Related Services</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</si>
  <si>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</si>
  <si>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</si>
  <si>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</si>
  <si>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</si>
  <si>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</si>
  <si>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</si>
  <si>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</si>
  <si>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</si>
  <si>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</si>
  <si>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</si>
  <si>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</si>
  <si>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</si>
  <si>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</si>
  <si>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</si>
  <si>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</si>
  <si>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</si>
  <si>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</si>
  <si>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</si>
  <si>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</si>
  <si>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</si>
  <si>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</si>
  <si>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</si>
  <si>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</si>
  <si>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</si>
  <si>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</si>
  <si>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</si>
  <si>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</si>
  <si>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</si>
  <si>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</si>
  <si>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OR 1 Tons/Per Hours</t>
  </si>
  <si>
    <t>IGST@18</t>
  </si>
  <si>
    <t xml:space="preserve"> </t>
  </si>
  <si>
    <t>Paddy</t>
  </si>
  <si>
    <t>Shed for Rice Mill Unit</t>
  </si>
  <si>
    <t>Godown</t>
  </si>
  <si>
    <t>GRAIN CLEANING &amp; SORTING</t>
  </si>
  <si>
    <t>GRAVITY DESTONER</t>
  </si>
  <si>
    <t>RUBBER SHELLER</t>
  </si>
  <si>
    <t>GRAVITY PADDY SEPARATOR</t>
  </si>
  <si>
    <t>ROTARY GLAZE MACHINE</t>
  </si>
  <si>
    <t>ALL ELEVATOR WITH ACCESSORIES</t>
  </si>
  <si>
    <t>RICE POLISHER</t>
  </si>
  <si>
    <t>HOT AIR BLOWING DRYER</t>
  </si>
  <si>
    <t>ELECTRIC MOTOR</t>
  </si>
</sst>
</file>

<file path=xl/styles.xml><?xml version="1.0" encoding="utf-8"?>
<styleSheet xmlns="http://schemas.openxmlformats.org/spreadsheetml/2006/main">
  <numFmts count="15">
    <numFmt numFmtId="43" formatCode="_(* #,##0.00_);_(* \(#,##0.00\);_(* &quot;-&quot;??_);_(@_)"/>
    <numFmt numFmtId="164" formatCode="_-&quot;£&quot;* #,##0.00_-;\-&quot;£&quot;* #,##0.00_-;_-&quot;£&quot;* &quot;-&quot;??_-;_-@_-"/>
    <numFmt numFmtId="165" formatCode="_-* #,##0.00_-;\-* #,##0.00_-;_-* &quot;-&quot;??_-;_-@_-"/>
    <numFmt numFmtId="166" formatCode="_ * #,##0.00_ ;_ * \-#,##0.00_ ;_ * &quot;-&quot;??_ ;_ @_ "/>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166"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6"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6"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5" fontId="26" fillId="0" borderId="0" xfId="0" applyNumberFormat="1" applyFont="1" applyBorder="1"/>
    <xf numFmtId="0" fontId="26" fillId="0" borderId="0" xfId="0" applyFont="1" applyBorder="1"/>
    <xf numFmtId="0" fontId="26" fillId="0" borderId="0" xfId="0" applyFont="1" applyFill="1" applyBorder="1"/>
    <xf numFmtId="166" fontId="26" fillId="0" borderId="0" xfId="0" applyNumberFormat="1" applyFont="1" applyBorder="1"/>
    <xf numFmtId="1" fontId="26" fillId="0" borderId="0" xfId="0" applyNumberFormat="1" applyFont="1" applyBorder="1"/>
    <xf numFmtId="9" fontId="26" fillId="0" borderId="1" xfId="0" applyNumberFormat="1" applyFont="1" applyBorder="1"/>
    <xf numFmtId="166"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166"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5"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166"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5"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27"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GST@18" TargetMode="External"/><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workbookViewId="0">
      <selection sqref="A1:E1"/>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2" t="s">
        <v>636</v>
      </c>
      <c r="B1" s="392"/>
      <c r="C1" s="392"/>
      <c r="D1" s="392"/>
      <c r="E1" s="392"/>
    </row>
    <row r="2" spans="1:5" ht="26.25" customHeight="1">
      <c r="A2" s="393" t="s">
        <v>632</v>
      </c>
      <c r="B2" s="393"/>
      <c r="C2" s="393"/>
      <c r="D2" s="393"/>
      <c r="E2" s="393"/>
    </row>
    <row r="3" spans="1:5" ht="23.25" customHeight="1">
      <c r="A3" s="394" t="s">
        <v>603</v>
      </c>
      <c r="B3" s="394"/>
      <c r="C3" s="394"/>
      <c r="D3" s="394"/>
      <c r="E3" s="394"/>
    </row>
    <row r="4" spans="1:5" ht="240.75" customHeight="1">
      <c r="A4" s="395" t="s">
        <v>637</v>
      </c>
      <c r="B4" s="395"/>
      <c r="C4" s="395"/>
      <c r="D4" s="395"/>
      <c r="E4" s="395"/>
    </row>
    <row r="5" spans="1:5" ht="23.25" customHeight="1">
      <c r="A5" s="394" t="s">
        <v>604</v>
      </c>
      <c r="B5" s="394"/>
      <c r="C5" s="394"/>
      <c r="D5" s="394"/>
      <c r="E5" s="394"/>
    </row>
    <row r="6" spans="1:5" ht="108" customHeight="1">
      <c r="A6" s="402" t="s">
        <v>675</v>
      </c>
      <c r="B6" s="403"/>
      <c r="C6" s="403"/>
      <c r="D6" s="403"/>
      <c r="E6" s="404"/>
    </row>
    <row r="7" spans="1:5" ht="23.25" customHeight="1">
      <c r="A7" s="405" t="s">
        <v>638</v>
      </c>
      <c r="B7" s="405"/>
      <c r="C7" s="405"/>
      <c r="D7" s="405"/>
      <c r="E7" s="405"/>
    </row>
    <row r="8" spans="1:5" ht="125.25" customHeight="1">
      <c r="A8" s="395" t="s">
        <v>674</v>
      </c>
      <c r="B8" s="395"/>
      <c r="C8" s="395"/>
      <c r="D8" s="395"/>
      <c r="E8" s="395"/>
    </row>
    <row r="9" spans="1:5" ht="23.25">
      <c r="A9" s="394" t="s">
        <v>629</v>
      </c>
      <c r="B9" s="394"/>
      <c r="C9" s="394"/>
      <c r="D9" s="394"/>
      <c r="E9" s="394"/>
    </row>
    <row r="10" spans="1:5">
      <c r="A10" s="358" t="s">
        <v>605</v>
      </c>
      <c r="B10" s="358" t="s">
        <v>149</v>
      </c>
    </row>
    <row r="11" spans="1:5" ht="20.25" customHeight="1">
      <c r="A11" s="362"/>
      <c r="B11" s="406" t="s">
        <v>404</v>
      </c>
      <c r="C11" s="407"/>
      <c r="D11" s="407"/>
      <c r="E11" s="408"/>
    </row>
    <row r="12" spans="1:5">
      <c r="A12" s="363"/>
      <c r="B12" s="396" t="s">
        <v>405</v>
      </c>
      <c r="C12" s="396"/>
      <c r="D12" s="396"/>
      <c r="E12" s="396"/>
    </row>
    <row r="13" spans="1:5" s="367" customFormat="1">
      <c r="A13" s="397"/>
      <c r="B13" s="397"/>
      <c r="C13" s="397"/>
      <c r="D13" s="397"/>
      <c r="E13" s="398"/>
    </row>
    <row r="14" spans="1:5" ht="23.25">
      <c r="A14" s="394" t="s">
        <v>630</v>
      </c>
      <c r="B14" s="394"/>
      <c r="C14" s="394"/>
      <c r="D14" s="394"/>
      <c r="E14" s="394"/>
    </row>
    <row r="15" spans="1:5">
      <c r="A15" s="359" t="s">
        <v>601</v>
      </c>
      <c r="B15" s="359" t="s">
        <v>639</v>
      </c>
      <c r="C15" s="359" t="s">
        <v>457</v>
      </c>
      <c r="D15" s="359" t="s">
        <v>609</v>
      </c>
      <c r="E15" s="359" t="s">
        <v>602</v>
      </c>
    </row>
    <row r="16" spans="1:5">
      <c r="A16" s="368" t="s">
        <v>171</v>
      </c>
      <c r="B16" s="368" t="s">
        <v>640</v>
      </c>
      <c r="C16" s="368"/>
      <c r="D16" s="368"/>
      <c r="E16" s="368"/>
    </row>
    <row r="17" spans="1:5" ht="60">
      <c r="A17" s="369" t="s">
        <v>619</v>
      </c>
      <c r="B17" s="360" t="s">
        <v>626</v>
      </c>
      <c r="C17" s="360" t="s">
        <v>671</v>
      </c>
      <c r="D17" s="360" t="s">
        <v>641</v>
      </c>
      <c r="E17" s="360"/>
    </row>
    <row r="18" spans="1:5" ht="90">
      <c r="A18" s="369" t="s">
        <v>620</v>
      </c>
      <c r="B18" s="360" t="s">
        <v>606</v>
      </c>
      <c r="C18" s="360" t="s">
        <v>672</v>
      </c>
      <c r="D18" s="360" t="s">
        <v>642</v>
      </c>
      <c r="E18" s="360"/>
    </row>
    <row r="19" spans="1:5" ht="26.25" customHeight="1">
      <c r="A19" s="369" t="s">
        <v>621</v>
      </c>
      <c r="B19" s="361" t="s">
        <v>633</v>
      </c>
      <c r="C19" s="360" t="s">
        <v>643</v>
      </c>
      <c r="D19" s="360" t="s">
        <v>644</v>
      </c>
      <c r="E19" s="360" t="s">
        <v>631</v>
      </c>
    </row>
    <row r="20" spans="1:5" ht="30">
      <c r="A20" s="369" t="s">
        <v>622</v>
      </c>
      <c r="B20" s="360" t="s">
        <v>673</v>
      </c>
      <c r="C20" s="360"/>
      <c r="D20" s="360"/>
      <c r="E20" s="360"/>
    </row>
    <row r="21" spans="1:5">
      <c r="A21" s="360">
        <v>4.0999999999999996</v>
      </c>
      <c r="B21" s="360" t="s">
        <v>613</v>
      </c>
      <c r="C21" s="399" t="s">
        <v>645</v>
      </c>
      <c r="D21" s="360" t="s">
        <v>646</v>
      </c>
      <c r="E21" s="360"/>
    </row>
    <row r="22" spans="1:5" ht="30">
      <c r="A22" s="360">
        <v>4.2</v>
      </c>
      <c r="B22" s="360" t="s">
        <v>617</v>
      </c>
      <c r="C22" s="400"/>
      <c r="D22" s="360" t="s">
        <v>647</v>
      </c>
      <c r="E22" s="360"/>
    </row>
    <row r="23" spans="1:5">
      <c r="A23" s="360">
        <v>4.3</v>
      </c>
      <c r="B23" s="360" t="s">
        <v>614</v>
      </c>
      <c r="C23" s="400"/>
      <c r="D23" s="360" t="s">
        <v>648</v>
      </c>
      <c r="E23" s="360"/>
    </row>
    <row r="24" spans="1:5">
      <c r="A24" s="360">
        <v>4.4000000000000004</v>
      </c>
      <c r="B24" s="360" t="s">
        <v>615</v>
      </c>
      <c r="C24" s="400"/>
      <c r="D24" s="360" t="s">
        <v>649</v>
      </c>
      <c r="E24" s="360"/>
    </row>
    <row r="25" spans="1:5">
      <c r="A25" s="360">
        <v>4.5</v>
      </c>
      <c r="B25" s="360" t="s">
        <v>616</v>
      </c>
      <c r="C25" s="400"/>
      <c r="D25" s="360" t="s">
        <v>650</v>
      </c>
      <c r="E25" s="360"/>
    </row>
    <row r="26" spans="1:5">
      <c r="A26" s="360">
        <v>4.5999999999999996</v>
      </c>
      <c r="B26" s="360" t="s">
        <v>618</v>
      </c>
      <c r="C26" s="401"/>
      <c r="D26" s="360" t="s">
        <v>651</v>
      </c>
      <c r="E26" s="360"/>
    </row>
    <row r="27" spans="1:5" ht="45">
      <c r="A27" s="369" t="s">
        <v>623</v>
      </c>
      <c r="B27" s="360" t="s">
        <v>607</v>
      </c>
      <c r="C27" s="360" t="s">
        <v>652</v>
      </c>
      <c r="D27" s="360" t="s">
        <v>677</v>
      </c>
      <c r="E27" s="360"/>
    </row>
    <row r="28" spans="1:5" ht="60">
      <c r="A28" s="369" t="s">
        <v>624</v>
      </c>
      <c r="B28" s="360" t="s">
        <v>653</v>
      </c>
      <c r="C28" s="360" t="s">
        <v>654</v>
      </c>
      <c r="D28" s="360" t="s">
        <v>655</v>
      </c>
      <c r="E28" s="360"/>
    </row>
    <row r="29" spans="1:5" ht="45">
      <c r="A29" s="369" t="s">
        <v>625</v>
      </c>
      <c r="B29" s="360" t="s">
        <v>608</v>
      </c>
      <c r="C29" s="360" t="s">
        <v>656</v>
      </c>
      <c r="D29" s="360" t="s">
        <v>657</v>
      </c>
      <c r="E29" s="360"/>
    </row>
    <row r="30" spans="1:5">
      <c r="A30" s="368" t="s">
        <v>172</v>
      </c>
      <c r="B30" s="370" t="s">
        <v>658</v>
      </c>
      <c r="C30" s="368"/>
      <c r="D30" s="368"/>
      <c r="E30" s="368"/>
    </row>
    <row r="31" spans="1:5" ht="26.25" customHeight="1">
      <c r="A31" s="371" t="s">
        <v>659</v>
      </c>
      <c r="B31" s="360" t="s">
        <v>610</v>
      </c>
      <c r="C31" s="360"/>
      <c r="D31" s="360" t="s">
        <v>660</v>
      </c>
      <c r="E31" s="360" t="s">
        <v>631</v>
      </c>
    </row>
    <row r="32" spans="1:5">
      <c r="A32" s="371" t="s">
        <v>661</v>
      </c>
      <c r="B32" s="360" t="s">
        <v>611</v>
      </c>
      <c r="C32" s="360"/>
      <c r="D32" s="360" t="s">
        <v>662</v>
      </c>
      <c r="E32" s="360" t="s">
        <v>631</v>
      </c>
    </row>
    <row r="33" spans="1:5">
      <c r="A33" s="371" t="s">
        <v>663</v>
      </c>
      <c r="B33" s="360" t="s">
        <v>612</v>
      </c>
      <c r="C33" s="360"/>
      <c r="D33" s="360" t="s">
        <v>664</v>
      </c>
      <c r="E33" s="360" t="s">
        <v>631</v>
      </c>
    </row>
    <row r="34" spans="1:5" ht="35.25" customHeight="1">
      <c r="A34" s="371" t="s">
        <v>665</v>
      </c>
      <c r="B34" s="360" t="s">
        <v>627</v>
      </c>
      <c r="C34" s="360"/>
      <c r="D34" s="360" t="s">
        <v>666</v>
      </c>
      <c r="E34" s="360" t="s">
        <v>631</v>
      </c>
    </row>
    <row r="35" spans="1:5" ht="35.25" customHeight="1">
      <c r="A35" s="371" t="s">
        <v>667</v>
      </c>
      <c r="B35" s="360" t="s">
        <v>668</v>
      </c>
      <c r="C35" s="360"/>
      <c r="D35" s="360" t="s">
        <v>676</v>
      </c>
      <c r="E35" s="360" t="s">
        <v>631</v>
      </c>
    </row>
    <row r="36" spans="1:5">
      <c r="A36" s="369" t="s">
        <v>669</v>
      </c>
      <c r="B36" s="360" t="s">
        <v>670</v>
      </c>
      <c r="C36" s="360"/>
      <c r="D36" s="360"/>
      <c r="E36" s="360"/>
    </row>
    <row r="37" spans="1:5" ht="21">
      <c r="A37" s="391"/>
      <c r="B37" s="391"/>
      <c r="C37" s="391"/>
      <c r="D37" s="391"/>
      <c r="E37" s="39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view="pageBreakPreview" zoomScale="80" zoomScaleSheetLayoutView="80" workbookViewId="0">
      <selection activeCell="B1" sqref="B1"/>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51" t="s">
        <v>554</v>
      </c>
      <c r="C5" s="451"/>
      <c r="D5" s="451"/>
      <c r="E5" s="451"/>
      <c r="F5" s="451"/>
      <c r="G5" s="451"/>
      <c r="H5" s="451"/>
      <c r="I5" s="451"/>
      <c r="J5" s="451"/>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-622748.50103105407</v>
      </c>
      <c r="E9" s="88">
        <f>'6.Cons Profit &amp; Loss'!C49</f>
        <v>727787.53123953938</v>
      </c>
      <c r="F9" s="88">
        <f>'6.Cons Profit &amp; Loss'!D49</f>
        <v>1325351.9076589211</v>
      </c>
      <c r="G9" s="88">
        <f>'6.Cons Profit &amp; Loss'!E49</f>
        <v>1985797.0118261338</v>
      </c>
      <c r="H9" s="88">
        <f>'6.Cons Profit &amp; Loss'!F49</f>
        <v>2712821.2540449239</v>
      </c>
      <c r="I9" s="88">
        <f>'6.Cons Profit &amp; Loss'!G49</f>
        <v>3540368.4808701496</v>
      </c>
      <c r="J9" s="88">
        <f>'6.Cons Profit &amp; Loss'!H49</f>
        <v>4388542.8919283627</v>
      </c>
    </row>
    <row r="10" spans="2:12">
      <c r="B10" s="87"/>
      <c r="C10" s="87"/>
      <c r="D10" s="88"/>
      <c r="E10" s="88"/>
      <c r="F10" s="88"/>
      <c r="G10" s="88"/>
      <c r="H10" s="88"/>
      <c r="I10" s="88"/>
      <c r="J10" s="88"/>
    </row>
    <row r="11" spans="2:12">
      <c r="B11" s="89" t="s">
        <v>31</v>
      </c>
      <c r="C11" s="89"/>
      <c r="D11" s="88">
        <f>'6.Cons Profit &amp; Loss'!B40</f>
        <v>257500.50639999998</v>
      </c>
      <c r="E11" s="88">
        <f>'6.Cons Profit &amp; Loss'!C40</f>
        <v>257500.50639999998</v>
      </c>
      <c r="F11" s="88">
        <f>'6.Cons Profit &amp; Loss'!D40</f>
        <v>257500.50639999998</v>
      </c>
      <c r="G11" s="88">
        <f>'6.Cons Profit &amp; Loss'!E40</f>
        <v>257500.50639999998</v>
      </c>
      <c r="H11" s="88">
        <f>'6.Cons Profit &amp; Loss'!F40</f>
        <v>257500.50639999998</v>
      </c>
      <c r="I11" s="88">
        <f>'6.Cons Profit &amp; Loss'!G40</f>
        <v>257500.50639999998</v>
      </c>
      <c r="J11" s="88">
        <f>'6.Cons Profit &amp; Loss'!H40</f>
        <v>257500.50639999998</v>
      </c>
    </row>
    <row r="12" spans="2:12">
      <c r="B12" s="87" t="s">
        <v>36</v>
      </c>
      <c r="C12" s="87"/>
      <c r="D12" s="88">
        <f>'6.Cons Profit &amp; Loss'!B41</f>
        <v>70000</v>
      </c>
      <c r="E12" s="88">
        <f>'6.Cons Profit &amp; Loss'!C41</f>
        <v>70000</v>
      </c>
      <c r="F12" s="88">
        <f>'6.Cons Profit &amp; Loss'!D41</f>
        <v>70000</v>
      </c>
      <c r="G12" s="88">
        <f>'6.Cons Profit &amp; Loss'!E41</f>
        <v>70000</v>
      </c>
      <c r="H12" s="88">
        <f>'6.Cons Profit &amp; Loss'!F41</f>
        <v>70000</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-295247.99463105411</v>
      </c>
      <c r="E14" s="88">
        <f t="shared" ref="E14:J14" si="0">SUM(E9:E12)</f>
        <v>1055288.0376395392</v>
      </c>
      <c r="F14" s="88">
        <f t="shared" si="0"/>
        <v>1652852.4140589212</v>
      </c>
      <c r="G14" s="88">
        <f t="shared" si="0"/>
        <v>2313297.5182261337</v>
      </c>
      <c r="H14" s="88">
        <f t="shared" si="0"/>
        <v>3040321.7604449238</v>
      </c>
      <c r="I14" s="88">
        <f t="shared" si="0"/>
        <v>3797868.9872701494</v>
      </c>
      <c r="J14" s="88">
        <f t="shared" si="0"/>
        <v>4646043.398328363</v>
      </c>
    </row>
    <row r="15" spans="2:12">
      <c r="B15" s="87" t="s">
        <v>344</v>
      </c>
      <c r="C15" s="90">
        <f>-'1.Project Cost and MOF'!D13</f>
        <v>-8277541.8235299326</v>
      </c>
      <c r="D15" s="88">
        <f>D14</f>
        <v>-295247.99463105411</v>
      </c>
      <c r="E15" s="88">
        <f t="shared" ref="E15:J15" si="1">E14</f>
        <v>1055288.0376395392</v>
      </c>
      <c r="F15" s="88">
        <f t="shared" si="1"/>
        <v>1652852.4140589212</v>
      </c>
      <c r="G15" s="88">
        <f t="shared" si="1"/>
        <v>2313297.5182261337</v>
      </c>
      <c r="H15" s="88">
        <f t="shared" si="1"/>
        <v>3040321.7604449238</v>
      </c>
      <c r="I15" s="88">
        <f t="shared" si="1"/>
        <v>3797868.9872701494</v>
      </c>
      <c r="J15" s="88">
        <f t="shared" si="1"/>
        <v>4646043.398328363</v>
      </c>
    </row>
    <row r="16" spans="2:12">
      <c r="B16" s="87" t="s">
        <v>280</v>
      </c>
      <c r="C16" s="256">
        <f>IRR(C15:J15)</f>
        <v>0.13799901362532066</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0.87873538379818317</v>
      </c>
      <c r="E18" s="259">
        <f t="shared" ref="E18:J18" si="2">D18/(1+$C$16)</f>
        <v>0.77217587473894023</v>
      </c>
      <c r="F18" s="259">
        <f t="shared" si="2"/>
        <v>0.6785382636484204</v>
      </c>
      <c r="G18" s="259">
        <f t="shared" si="2"/>
        <v>0.5962555815288475</v>
      </c>
      <c r="H18" s="259">
        <f t="shared" si="2"/>
        <v>0.52395087727656076</v>
      </c>
      <c r="I18" s="259">
        <f t="shared" si="2"/>
        <v>0.46041417523501338</v>
      </c>
      <c r="J18" s="259">
        <f t="shared" si="2"/>
        <v>0.40458222698126345</v>
      </c>
      <c r="L18" s="17"/>
      <c r="M18" s="17"/>
      <c r="N18" s="17"/>
      <c r="O18" s="17"/>
      <c r="P18" s="17"/>
      <c r="Q18" s="17"/>
      <c r="R18" s="17"/>
      <c r="S18" s="17"/>
    </row>
    <row r="19" spans="2:19">
      <c r="B19" s="87" t="s">
        <v>33</v>
      </c>
      <c r="C19" s="87"/>
      <c r="D19" s="88">
        <f t="shared" ref="D19:J19" si="3">D14*D18</f>
        <v>-259444.85987776326</v>
      </c>
      <c r="E19" s="88">
        <f t="shared" si="3"/>
        <v>814867.96356585086</v>
      </c>
      <c r="F19" s="88">
        <f t="shared" si="3"/>
        <v>1121523.6071026404</v>
      </c>
      <c r="G19" s="88">
        <f t="shared" si="3"/>
        <v>1379316.5569791631</v>
      </c>
      <c r="H19" s="88">
        <f t="shared" si="3"/>
        <v>1592979.2535881354</v>
      </c>
      <c r="I19" s="88">
        <f t="shared" si="3"/>
        <v>1748592.7174246213</v>
      </c>
      <c r="J19" s="88">
        <f t="shared" si="3"/>
        <v>1879706.5847472863</v>
      </c>
      <c r="L19" s="6"/>
    </row>
    <row r="20" spans="2:19">
      <c r="B20" s="87" t="s">
        <v>34</v>
      </c>
      <c r="C20" s="87"/>
      <c r="D20" s="458">
        <f>SUM(D19:J19)</f>
        <v>8277541.8235299345</v>
      </c>
      <c r="E20" s="458"/>
      <c r="F20" s="458"/>
      <c r="G20" s="458"/>
      <c r="H20" s="458"/>
      <c r="I20" s="458"/>
      <c r="J20" s="458"/>
      <c r="L20" s="6"/>
    </row>
    <row r="21" spans="2:19">
      <c r="B21" s="87"/>
      <c r="C21" s="87"/>
      <c r="D21" s="88"/>
      <c r="E21" s="88"/>
      <c r="F21" s="88"/>
      <c r="G21" s="88"/>
      <c r="H21" s="88"/>
      <c r="I21" s="88"/>
      <c r="J21" s="88"/>
    </row>
    <row r="22" spans="2:19">
      <c r="B22" s="9" t="s">
        <v>35</v>
      </c>
      <c r="C22" s="9"/>
      <c r="D22" s="459">
        <f>'1.Project Cost and MOF'!D13</f>
        <v>8277541.8235299326</v>
      </c>
      <c r="E22" s="459"/>
      <c r="F22" s="459"/>
      <c r="G22" s="459"/>
      <c r="H22" s="459"/>
      <c r="I22" s="459"/>
      <c r="J22" s="459"/>
    </row>
    <row r="23" spans="2:19">
      <c r="F23" s="17">
        <f>D20-D22</f>
        <v>0</v>
      </c>
    </row>
    <row r="24" spans="2:19" ht="29.45" customHeight="1">
      <c r="B24" s="452" t="s">
        <v>425</v>
      </c>
      <c r="C24" s="452"/>
      <c r="D24" s="452"/>
      <c r="E24" s="452"/>
      <c r="F24" s="452"/>
      <c r="G24" s="452"/>
      <c r="H24" s="452"/>
      <c r="I24" s="452"/>
      <c r="J24" s="452"/>
    </row>
    <row r="25" spans="2:19">
      <c r="K25" s="17"/>
      <c r="L25" s="17"/>
      <c r="M25" s="17"/>
    </row>
    <row r="26" spans="2:19" ht="18.75">
      <c r="B26" s="412" t="s">
        <v>555</v>
      </c>
      <c r="C26" s="412"/>
      <c r="D26" s="412"/>
      <c r="E26" s="412"/>
      <c r="F26" s="412"/>
      <c r="G26" s="412"/>
      <c r="H26" s="412"/>
      <c r="I26" s="412"/>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10669469.381999999</v>
      </c>
      <c r="D32" s="95">
        <f>'6.Cons Profit &amp; Loss'!C6</f>
        <v>20498820.422850002</v>
      </c>
      <c r="E32" s="95">
        <f>'6.Cons Profit &amp; Loss'!D6</f>
        <v>24784302.518167503</v>
      </c>
      <c r="F32" s="95">
        <f>'6.Cons Profit &amp; Loss'!E6</f>
        <v>29447085.771959621</v>
      </c>
      <c r="G32" s="95">
        <f>'6.Cons Profit &amp; Loss'!F6</f>
        <v>34514186.594835542</v>
      </c>
      <c r="H32" s="95">
        <f>'6.Cons Profit &amp; Loss'!G6</f>
        <v>40014379.785569154</v>
      </c>
      <c r="I32" s="95">
        <f>'6.Cons Profit &amp; Loss'!H6</f>
        <v>45978306.82888905</v>
      </c>
    </row>
    <row r="33" spans="2:9">
      <c r="B33" s="109" t="str">
        <f>'6.Cons Profit &amp; Loss'!A7</f>
        <v>Faclitiy 2 - Processing Unit- Cleaning, Grading</v>
      </c>
      <c r="C33" s="95">
        <f>'6.Cons Profit &amp; Loss'!B7</f>
        <v>516437.98139999993</v>
      </c>
      <c r="D33" s="95">
        <f>'6.Cons Profit &amp; Loss'!C7</f>
        <v>836830.79518500005</v>
      </c>
      <c r="E33" s="95">
        <f>'6.Cons Profit &amp; Loss'!D7</f>
        <v>1175665.2837929998</v>
      </c>
      <c r="F33" s="95">
        <f>'6.Cons Profit &amp; Loss'!E7</f>
        <v>1546291.1442738376</v>
      </c>
      <c r="G33" s="95">
        <f>'6.Cons Profit &amp; Loss'!F7</f>
        <v>1951040.4275932766</v>
      </c>
      <c r="H33" s="95">
        <f>'6.Cons Profit &amp; Loss'!G7</f>
        <v>2392398.9113839744</v>
      </c>
      <c r="I33" s="95">
        <f>'6.Cons Profit &amp; Loss'!H7</f>
        <v>2873015.6424847594</v>
      </c>
    </row>
    <row r="34" spans="2:9">
      <c r="B34" s="109" t="str">
        <f>'6.Cons Profit &amp; Loss'!A8</f>
        <v>Faclitiy 3 - Warehouse</v>
      </c>
      <c r="C34" s="95">
        <f>'6.Cons Profit &amp; Loss'!B8</f>
        <v>384000</v>
      </c>
      <c r="D34" s="95">
        <f>'6.Cons Profit &amp; Loss'!C8</f>
        <v>428400.00000000012</v>
      </c>
      <c r="E34" s="95">
        <f>'6.Cons Profit &amp; Loss'!D8</f>
        <v>476280.00000000012</v>
      </c>
      <c r="F34" s="95">
        <f>'6.Cons Profit &amp; Loss'!E8</f>
        <v>527877.00000000023</v>
      </c>
      <c r="G34" s="95">
        <f>'6.Cons Profit &amp; Loss'!F8</f>
        <v>583443.00000000035</v>
      </c>
      <c r="H34" s="95">
        <f>'6.Cons Profit &amp; Loss'!G8</f>
        <v>612615.15000000037</v>
      </c>
      <c r="I34" s="95">
        <f>'6.Cons Profit &amp; Loss'!H8</f>
        <v>643245.90750000044</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11569907.363399999</v>
      </c>
      <c r="D39" s="95">
        <f t="shared" ref="D39:I39" si="4">SUM(D32:D38)</f>
        <v>21764051.218035001</v>
      </c>
      <c r="E39" s="95">
        <f t="shared" si="4"/>
        <v>26436247.801960502</v>
      </c>
      <c r="F39" s="95">
        <f t="shared" si="4"/>
        <v>31521253.916233458</v>
      </c>
      <c r="G39" s="95">
        <f t="shared" si="4"/>
        <v>37048670.022428818</v>
      </c>
      <c r="H39" s="95">
        <f t="shared" si="4"/>
        <v>43019393.846953124</v>
      </c>
      <c r="I39" s="95">
        <f t="shared" si="4"/>
        <v>49494568.37887381</v>
      </c>
    </row>
    <row r="40" spans="2:9">
      <c r="B40" s="94"/>
      <c r="C40" s="95"/>
      <c r="D40" s="95"/>
      <c r="E40" s="95"/>
      <c r="F40" s="95"/>
      <c r="G40" s="95"/>
      <c r="H40" s="95"/>
      <c r="I40" s="95"/>
    </row>
    <row r="41" spans="2:9">
      <c r="B41" s="94" t="s">
        <v>38</v>
      </c>
      <c r="C41" s="95">
        <f>'6.Cons Profit &amp; Loss'!B23</f>
        <v>8903598.3248687517</v>
      </c>
      <c r="D41" s="95">
        <f>'6.Cons Profit &amp; Loss'!C23</f>
        <v>16762521.225347342</v>
      </c>
      <c r="E41" s="95">
        <f>'6.Cons Profit &amp; Loss'!D23</f>
        <v>20281738.408064432</v>
      </c>
      <c r="F41" s="95">
        <f>'6.Cons Profit &amp; Loss'!E23</f>
        <v>24110971.005989868</v>
      </c>
      <c r="G41" s="95">
        <f>'6.Cons Profit &amp; Loss'!F23</f>
        <v>28272422.517687693</v>
      </c>
      <c r="H41" s="95">
        <f>'6.Cons Profit &amp; Loss'!G23</f>
        <v>32789741.75304031</v>
      </c>
      <c r="I41" s="95">
        <f>'6.Cons Profit &amp; Loss'!H23</f>
        <v>37688111.855633989</v>
      </c>
    </row>
    <row r="42" spans="2:9">
      <c r="B42" s="94"/>
      <c r="C42" s="95"/>
      <c r="D42" s="95"/>
      <c r="E42" s="95"/>
      <c r="F42" s="95"/>
      <c r="G42" s="95"/>
      <c r="H42" s="95"/>
      <c r="I42" s="95"/>
    </row>
    <row r="43" spans="2:9">
      <c r="B43" s="96" t="s">
        <v>39</v>
      </c>
      <c r="C43" s="114">
        <f>C39-C41</f>
        <v>2666309.0385312475</v>
      </c>
      <c r="D43" s="114">
        <f t="shared" ref="D43:I43" si="5">D39-D41</f>
        <v>5001529.9926876593</v>
      </c>
      <c r="E43" s="114">
        <f t="shared" si="5"/>
        <v>6154509.3938960694</v>
      </c>
      <c r="F43" s="114">
        <f t="shared" si="5"/>
        <v>7410282.9102435894</v>
      </c>
      <c r="G43" s="114">
        <f t="shared" si="5"/>
        <v>8776247.5047411248</v>
      </c>
      <c r="H43" s="114">
        <f t="shared" si="5"/>
        <v>10229652.093912814</v>
      </c>
      <c r="I43" s="114">
        <f t="shared" si="5"/>
        <v>11806456.523239821</v>
      </c>
    </row>
    <row r="44" spans="2:9">
      <c r="B44" s="94"/>
      <c r="C44" s="95"/>
      <c r="D44" s="95"/>
      <c r="E44" s="95"/>
      <c r="F44" s="95"/>
      <c r="G44" s="95"/>
      <c r="H44" s="95"/>
      <c r="I44" s="95"/>
    </row>
    <row r="45" spans="2:9">
      <c r="B45" s="96" t="s">
        <v>41</v>
      </c>
      <c r="C45" s="114">
        <f>'6.Cons Profit &amp; Loss'!B34+'6.Cons Profit &amp; Loss'!B40+'6.Cons Profit &amp; Loss'!B41</f>
        <v>3090300.5063999998</v>
      </c>
      <c r="D45" s="114">
        <f>'6.Cons Profit &amp; Loss'!C34+'6.Cons Profit &amp; Loss'!C40+'6.Cons Profit &amp; Loss'!C41</f>
        <v>3228440.5063999998</v>
      </c>
      <c r="E45" s="114">
        <f>'6.Cons Profit &amp; Loss'!D34+'6.Cons Profit &amp; Loss'!D40+'6.Cons Profit &amp; Loss'!D41</f>
        <v>3373487.5063999998</v>
      </c>
      <c r="F45" s="114">
        <f>'6.Cons Profit &amp; Loss'!E34+'6.Cons Profit &amp; Loss'!E40+'6.Cons Profit &amp; Loss'!E41</f>
        <v>3525786.8564000004</v>
      </c>
      <c r="G45" s="114">
        <f>'6.Cons Profit &amp; Loss'!F34+'6.Cons Profit &amp; Loss'!F40+'6.Cons Profit &amp; Loss'!F41</f>
        <v>3685701.1739000003</v>
      </c>
      <c r="H45" s="114">
        <f>'6.Cons Profit &amp; Loss'!G34+'6.Cons Profit &amp; Loss'!G40+'6.Cons Profit &amp; Loss'!G41</f>
        <v>3783611.2072750004</v>
      </c>
      <c r="I45" s="114">
        <f>'6.Cons Profit &amp; Loss'!H34+'6.Cons Profit &amp; Loss'!H40+'6.Cons Profit &amp; Loss'!H41</f>
        <v>3959916.7423187508</v>
      </c>
    </row>
    <row r="46" spans="2:9">
      <c r="B46" s="94"/>
      <c r="C46" s="94"/>
      <c r="D46" s="94"/>
      <c r="E46" s="94"/>
      <c r="F46" s="94"/>
      <c r="G46" s="94"/>
      <c r="H46" s="94"/>
      <c r="I46" s="94"/>
    </row>
    <row r="47" spans="2:9">
      <c r="B47" s="94" t="s">
        <v>40</v>
      </c>
      <c r="C47" s="113">
        <f>C45/C43</f>
        <v>1.159018126459306</v>
      </c>
      <c r="D47" s="113">
        <f>D45/D43</f>
        <v>0.64549058210588495</v>
      </c>
      <c r="E47" s="113">
        <f>E45/E43</f>
        <v>0.54813264396765138</v>
      </c>
      <c r="F47" s="113">
        <f>F45/F43</f>
        <v>0.47579652478937562</v>
      </c>
      <c r="G47" s="113">
        <f>G45/G43</f>
        <v>0.41996322140059317</v>
      </c>
      <c r="H47" s="113">
        <f t="shared" ref="H47:I47" si="6">H45/H43</f>
        <v>0.36986704655639757</v>
      </c>
      <c r="I47" s="113">
        <f t="shared" si="6"/>
        <v>0.33540264469056008</v>
      </c>
    </row>
    <row r="48" spans="2:9">
      <c r="B48" s="93"/>
      <c r="C48" s="93"/>
      <c r="D48" s="93"/>
      <c r="E48" s="93"/>
      <c r="F48" s="93"/>
      <c r="G48" s="93"/>
      <c r="H48" s="93"/>
      <c r="I48" s="93"/>
    </row>
    <row r="49" spans="2:10">
      <c r="B49" s="115" t="s">
        <v>133</v>
      </c>
      <c r="C49" s="116">
        <f>AVERAGE(C47:I47)</f>
        <v>0.56481011285282412</v>
      </c>
      <c r="D49" s="93"/>
      <c r="E49" s="93"/>
      <c r="F49" s="93"/>
      <c r="G49" s="93"/>
      <c r="H49" s="93"/>
      <c r="I49" s="93"/>
    </row>
    <row r="51" spans="2:10" ht="41.45" customHeight="1">
      <c r="B51" s="453" t="s">
        <v>426</v>
      </c>
      <c r="C51" s="453"/>
      <c r="D51" s="453"/>
      <c r="E51" s="453"/>
      <c r="F51" s="453"/>
      <c r="G51" s="453"/>
      <c r="H51" s="453"/>
      <c r="I51" s="453"/>
      <c r="J51" s="453"/>
    </row>
    <row r="54" spans="2:10" ht="18.75">
      <c r="B54" s="412" t="s">
        <v>556</v>
      </c>
      <c r="C54" s="412"/>
      <c r="D54" s="412"/>
      <c r="E54" s="412"/>
      <c r="F54" s="412"/>
      <c r="G54" s="412"/>
      <c r="H54" s="412"/>
      <c r="I54" s="412"/>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-622748.50103105407</v>
      </c>
      <c r="D58" s="326">
        <f>'6.Cons Profit &amp; Loss'!C49</f>
        <v>727787.53123953938</v>
      </c>
      <c r="E58" s="326">
        <f>'6.Cons Profit &amp; Loss'!D49</f>
        <v>1325351.9076589211</v>
      </c>
      <c r="F58" s="326">
        <f>'6.Cons Profit &amp; Loss'!E49</f>
        <v>1985797.0118261338</v>
      </c>
      <c r="G58" s="326">
        <f>'6.Cons Profit &amp; Loss'!F49</f>
        <v>2712821.2540449239</v>
      </c>
      <c r="H58" s="326">
        <f>'6.Cons Profit &amp; Loss'!G49</f>
        <v>3540368.4808701496</v>
      </c>
      <c r="I58" s="326">
        <f>'6.Cons Profit &amp; Loss'!H49</f>
        <v>4388542.8919283627</v>
      </c>
    </row>
    <row r="59" spans="2:10">
      <c r="B59" s="94"/>
      <c r="C59" s="326"/>
      <c r="D59" s="326"/>
      <c r="E59" s="326"/>
      <c r="F59" s="326"/>
      <c r="G59" s="326"/>
      <c r="H59" s="326"/>
      <c r="I59" s="326"/>
    </row>
    <row r="60" spans="2:10">
      <c r="B60" s="94" t="s">
        <v>42</v>
      </c>
      <c r="C60" s="326">
        <f>'6.Cons Profit &amp; Loss'!B40</f>
        <v>257500.50639999998</v>
      </c>
      <c r="D60" s="326">
        <f>'6.Cons Profit &amp; Loss'!C40</f>
        <v>257500.50639999998</v>
      </c>
      <c r="E60" s="326">
        <f>'6.Cons Profit &amp; Loss'!D40</f>
        <v>257500.50639999998</v>
      </c>
      <c r="F60" s="326">
        <f>'6.Cons Profit &amp; Loss'!E40</f>
        <v>257500.50639999998</v>
      </c>
      <c r="G60" s="326">
        <f>'6.Cons Profit &amp; Loss'!F40</f>
        <v>257500.50639999998</v>
      </c>
      <c r="H60" s="326">
        <f>'6.Cons Profit &amp; Loss'!G40</f>
        <v>257500.50639999998</v>
      </c>
      <c r="I60" s="326">
        <f>'6.Cons Profit &amp; Loss'!H40</f>
        <v>257500.50639999998</v>
      </c>
    </row>
    <row r="61" spans="2:10">
      <c r="B61" s="108" t="s">
        <v>48</v>
      </c>
      <c r="C61" s="326">
        <f>'6.Cons Profit &amp; Loss'!B41</f>
        <v>70000</v>
      </c>
      <c r="D61" s="326">
        <f>'6.Cons Profit &amp; Loss'!C41</f>
        <v>70000</v>
      </c>
      <c r="E61" s="326">
        <f>'6.Cons Profit &amp; Loss'!D41</f>
        <v>70000</v>
      </c>
      <c r="F61" s="326">
        <f>'6.Cons Profit &amp; Loss'!E41</f>
        <v>70000</v>
      </c>
      <c r="G61" s="326">
        <f>'6.Cons Profit &amp; Loss'!F41</f>
        <v>70000</v>
      </c>
      <c r="H61" s="326">
        <f>'6.Cons Profit &amp; Loss'!G41</f>
        <v>0</v>
      </c>
      <c r="I61" s="326">
        <f>'6.Cons Profit &amp; Loss'!H41</f>
        <v>0</v>
      </c>
    </row>
    <row r="62" spans="2:10">
      <c r="B62" s="94"/>
      <c r="C62" s="326"/>
      <c r="D62" s="326"/>
      <c r="E62" s="326"/>
      <c r="F62" s="326"/>
      <c r="G62" s="326"/>
      <c r="H62" s="326"/>
      <c r="I62" s="326"/>
    </row>
    <row r="63" spans="2:10">
      <c r="B63" s="94" t="s">
        <v>32</v>
      </c>
      <c r="C63" s="326">
        <f>SUM(C58:C61)</f>
        <v>-295247.99463105411</v>
      </c>
      <c r="D63" s="326">
        <f t="shared" ref="D63:I63" si="7">SUM(D58:D61)</f>
        <v>1055288.0376395392</v>
      </c>
      <c r="E63" s="326">
        <f t="shared" si="7"/>
        <v>1652852.4140589212</v>
      </c>
      <c r="F63" s="326">
        <f t="shared" si="7"/>
        <v>2313297.5182261337</v>
      </c>
      <c r="G63" s="326">
        <f t="shared" si="7"/>
        <v>3040321.7604449238</v>
      </c>
      <c r="H63" s="326">
        <f t="shared" si="7"/>
        <v>3797868.9872701494</v>
      </c>
      <c r="I63" s="326">
        <f t="shared" si="7"/>
        <v>4646043.398328363</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-268407.26784641284</v>
      </c>
      <c r="D67" s="95">
        <f t="shared" ref="D67:I67" si="9">D63*D65</f>
        <v>872138.87408226368</v>
      </c>
      <c r="E67" s="95">
        <f t="shared" si="9"/>
        <v>1241812.4823883704</v>
      </c>
      <c r="F67" s="95">
        <f t="shared" si="9"/>
        <v>1580013.3312110738</v>
      </c>
      <c r="G67" s="95">
        <f t="shared" si="9"/>
        <v>1887800.6100210012</v>
      </c>
      <c r="H67" s="95">
        <f t="shared" si="9"/>
        <v>2143798.0330737396</v>
      </c>
      <c r="I67" s="95">
        <f t="shared" si="9"/>
        <v>2384154.8875043793</v>
      </c>
    </row>
    <row r="68" spans="2:10">
      <c r="B68" s="93"/>
      <c r="C68" s="111"/>
      <c r="D68" s="111"/>
      <c r="E68" s="111"/>
      <c r="F68" s="111"/>
      <c r="G68" s="111"/>
      <c r="H68" s="111"/>
      <c r="I68" s="111"/>
    </row>
    <row r="69" spans="2:10" ht="16.5">
      <c r="B69" s="12" t="s">
        <v>45</v>
      </c>
      <c r="C69" s="111">
        <f>SUM(C67:I67)</f>
        <v>9841310.9504344165</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8277541.8235299326</v>
      </c>
      <c r="D71" s="111"/>
      <c r="E71" s="111"/>
      <c r="F71" s="111"/>
      <c r="G71" s="111"/>
      <c r="H71" s="111"/>
      <c r="I71" s="111"/>
    </row>
    <row r="72" spans="2:10">
      <c r="B72" s="93"/>
      <c r="C72" s="110"/>
      <c r="D72" s="93"/>
      <c r="E72" s="93"/>
      <c r="F72" s="93"/>
      <c r="G72" s="93"/>
      <c r="H72" s="93"/>
      <c r="I72" s="93"/>
    </row>
    <row r="73" spans="2:10" ht="16.5">
      <c r="B73" s="12" t="s">
        <v>47</v>
      </c>
      <c r="C73" s="110">
        <f>C69-C71</f>
        <v>1563769.1269044839</v>
      </c>
      <c r="D73" s="93"/>
      <c r="E73" s="93"/>
      <c r="F73" s="93"/>
      <c r="G73" s="93"/>
      <c r="H73" s="93"/>
      <c r="I73" s="93"/>
    </row>
    <row r="75" spans="2:10" ht="35.1" customHeight="1">
      <c r="B75" s="423" t="s">
        <v>427</v>
      </c>
      <c r="C75" s="423"/>
      <c r="D75" s="423"/>
      <c r="E75" s="423"/>
      <c r="F75" s="423"/>
      <c r="G75" s="423"/>
      <c r="H75" s="423"/>
      <c r="I75" s="423"/>
      <c r="J75" s="423"/>
    </row>
    <row r="76" spans="2:10" ht="18.75">
      <c r="B76" s="412" t="s">
        <v>557</v>
      </c>
      <c r="C76" s="412"/>
      <c r="D76" s="412"/>
      <c r="E76" s="412"/>
      <c r="F76" s="412"/>
      <c r="G76" s="412"/>
      <c r="H76" s="412"/>
      <c r="I76" s="412"/>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-622748.50103105407</v>
      </c>
      <c r="D80" s="95">
        <f>'6.Cons Profit &amp; Loss'!C49</f>
        <v>727787.53123953938</v>
      </c>
      <c r="E80" s="95">
        <f>'6.Cons Profit &amp; Loss'!D49</f>
        <v>1325351.9076589211</v>
      </c>
      <c r="F80" s="95">
        <f>'6.Cons Profit &amp; Loss'!E49</f>
        <v>1985797.0118261338</v>
      </c>
      <c r="G80" s="95">
        <f>'6.Cons Profit &amp; Loss'!F49</f>
        <v>2712821.2540449239</v>
      </c>
      <c r="H80" s="95">
        <f>'6.Cons Profit &amp; Loss'!G49</f>
        <v>3540368.4808701496</v>
      </c>
      <c r="I80" s="95">
        <f>'6.Cons Profit &amp; Loss'!H49</f>
        <v>4388542.8919283627</v>
      </c>
    </row>
    <row r="81" spans="2:10">
      <c r="B81" s="94"/>
      <c r="C81" s="94"/>
      <c r="D81" s="94"/>
      <c r="E81" s="94"/>
      <c r="F81" s="94"/>
      <c r="G81" s="94"/>
      <c r="H81" s="94"/>
      <c r="I81" s="94"/>
    </row>
    <row r="82" spans="2:10">
      <c r="B82" s="96" t="s">
        <v>124</v>
      </c>
      <c r="C82" s="461">
        <f>AVERAGE(C80:I80)</f>
        <v>2008274.3680767107</v>
      </c>
      <c r="D82" s="461"/>
      <c r="E82" s="461"/>
      <c r="F82" s="461"/>
      <c r="G82" s="461"/>
      <c r="H82" s="461"/>
      <c r="I82" s="461"/>
    </row>
    <row r="83" spans="2:10">
      <c r="B83" s="96" t="s">
        <v>125</v>
      </c>
      <c r="C83" s="461">
        <f>'1.Project Cost and MOF'!D13</f>
        <v>8277541.8235299326</v>
      </c>
      <c r="D83" s="461"/>
      <c r="E83" s="461"/>
      <c r="F83" s="461"/>
      <c r="G83" s="461"/>
      <c r="H83" s="461"/>
      <c r="I83" s="461"/>
    </row>
    <row r="84" spans="2:10">
      <c r="B84" s="94"/>
      <c r="C84" s="94"/>
      <c r="D84" s="94"/>
      <c r="E84" s="94"/>
      <c r="F84" s="94"/>
      <c r="G84" s="94"/>
      <c r="H84" s="94"/>
      <c r="I84" s="94"/>
    </row>
    <row r="85" spans="2:10">
      <c r="B85" s="255" t="s">
        <v>126</v>
      </c>
      <c r="C85" s="462">
        <f>C82/C83</f>
        <v>0.24261724203771987</v>
      </c>
      <c r="D85" s="462"/>
      <c r="E85" s="462"/>
      <c r="F85" s="462"/>
      <c r="G85" s="462"/>
      <c r="H85" s="462"/>
      <c r="I85" s="462"/>
    </row>
    <row r="88" spans="2:10">
      <c r="B88" s="460" t="s">
        <v>428</v>
      </c>
      <c r="C88" s="460"/>
      <c r="D88" s="460"/>
      <c r="E88" s="460"/>
      <c r="F88" s="460"/>
      <c r="G88" s="460"/>
      <c r="H88" s="460"/>
      <c r="I88" s="460"/>
    </row>
    <row r="90" spans="2:10" ht="18.75">
      <c r="B90" s="412" t="s">
        <v>558</v>
      </c>
      <c r="C90" s="412"/>
      <c r="D90" s="412"/>
      <c r="E90" s="412"/>
      <c r="F90" s="412"/>
      <c r="G90" s="412"/>
      <c r="H90" s="412"/>
      <c r="I90" s="412"/>
      <c r="J90" s="412"/>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8277541.8235299326</v>
      </c>
      <c r="D94" s="105"/>
      <c r="E94" s="105"/>
      <c r="F94" s="105"/>
      <c r="G94" s="105"/>
      <c r="H94" s="105"/>
      <c r="I94" s="105"/>
      <c r="J94" s="105"/>
    </row>
    <row r="95" spans="2:10">
      <c r="B95" s="25" t="str">
        <f>B58</f>
        <v>Profit after Tax &amp; Dividend</v>
      </c>
      <c r="C95" s="25"/>
      <c r="D95" s="26">
        <f>'6.Cons Profit &amp; Loss'!B49</f>
        <v>-622748.50103105407</v>
      </c>
      <c r="E95" s="26">
        <f>'6.Cons Profit &amp; Loss'!C49</f>
        <v>727787.53123953938</v>
      </c>
      <c r="F95" s="26">
        <f>'6.Cons Profit &amp; Loss'!D49</f>
        <v>1325351.9076589211</v>
      </c>
      <c r="G95" s="26">
        <f>'6.Cons Profit &amp; Loss'!E49</f>
        <v>1985797.0118261338</v>
      </c>
      <c r="H95" s="26">
        <f>'6.Cons Profit &amp; Loss'!F49</f>
        <v>2712821.2540449239</v>
      </c>
      <c r="I95" s="26">
        <f>'6.Cons Profit &amp; Loss'!G49</f>
        <v>3540368.4808701496</v>
      </c>
      <c r="J95" s="26">
        <f>'6.Cons Profit &amp; Loss'!H49</f>
        <v>4388542.8919283627</v>
      </c>
    </row>
    <row r="96" spans="2:10">
      <c r="B96" s="25" t="str">
        <f>B60</f>
        <v>Add: Deprication</v>
      </c>
      <c r="C96" s="25"/>
      <c r="D96" s="91">
        <f>'6.Cons Profit &amp; Loss'!B40</f>
        <v>257500.50639999998</v>
      </c>
      <c r="E96" s="91">
        <f>'6.Cons Profit &amp; Loss'!C40</f>
        <v>257500.50639999998</v>
      </c>
      <c r="F96" s="91">
        <f>'6.Cons Profit &amp; Loss'!D40</f>
        <v>257500.50639999998</v>
      </c>
      <c r="G96" s="91">
        <f>'6.Cons Profit &amp; Loss'!E40</f>
        <v>257500.50639999998</v>
      </c>
      <c r="H96" s="91">
        <f>'6.Cons Profit &amp; Loss'!F40</f>
        <v>257500.50639999998</v>
      </c>
      <c r="I96" s="91">
        <f>'6.Cons Profit &amp; Loss'!G40</f>
        <v>257500.50639999998</v>
      </c>
      <c r="J96" s="91">
        <f>'6.Cons Profit &amp; Loss'!H40</f>
        <v>257500.50639999998</v>
      </c>
    </row>
    <row r="97" spans="2:10">
      <c r="B97" s="25" t="str">
        <f>B61</f>
        <v>Add. Preliminary exp Written off</v>
      </c>
      <c r="C97" s="25"/>
      <c r="D97" s="91">
        <f>'6.Cons Profit &amp; Loss'!B41</f>
        <v>70000</v>
      </c>
      <c r="E97" s="91">
        <f>'6.Cons Profit &amp; Loss'!C41</f>
        <v>70000</v>
      </c>
      <c r="F97" s="91">
        <f>'6.Cons Profit &amp; Loss'!D41</f>
        <v>70000</v>
      </c>
      <c r="G97" s="91">
        <f>'6.Cons Profit &amp; Loss'!E41</f>
        <v>70000</v>
      </c>
      <c r="H97" s="91">
        <f>'6.Cons Profit &amp; Loss'!F41</f>
        <v>70000</v>
      </c>
      <c r="I97" s="91">
        <f>'6.Cons Profit &amp; Loss'!G41</f>
        <v>0</v>
      </c>
      <c r="J97" s="91">
        <f>'6.Cons Profit &amp; Loss'!H41</f>
        <v>0</v>
      </c>
    </row>
    <row r="98" spans="2:10">
      <c r="B98" s="25" t="str">
        <f>B63</f>
        <v xml:space="preserve">Net Cash Accrual (A)      </v>
      </c>
      <c r="C98" s="25"/>
      <c r="D98" s="254">
        <f>SUM(D95:D97)</f>
        <v>-295247.99463105411</v>
      </c>
      <c r="E98" s="254">
        <f t="shared" ref="E98:J98" si="10">SUM(E95:E97)</f>
        <v>1055288.0376395392</v>
      </c>
      <c r="F98" s="254">
        <f t="shared" si="10"/>
        <v>1652852.4140589212</v>
      </c>
      <c r="G98" s="254">
        <f t="shared" si="10"/>
        <v>2313297.5182261337</v>
      </c>
      <c r="H98" s="254">
        <f t="shared" si="10"/>
        <v>3040321.7604449238</v>
      </c>
      <c r="I98" s="254">
        <f t="shared" si="10"/>
        <v>3797868.9872701494</v>
      </c>
      <c r="J98" s="254">
        <f t="shared" si="10"/>
        <v>4646043.398328363</v>
      </c>
    </row>
    <row r="99" spans="2:10">
      <c r="B99" s="24" t="s">
        <v>282</v>
      </c>
      <c r="C99" s="107"/>
      <c r="D99" s="71">
        <f>D98-C94</f>
        <v>-8572789.8181609865</v>
      </c>
      <c r="E99" s="71">
        <f>D99+E98</f>
        <v>-7517501.7805214468</v>
      </c>
      <c r="F99" s="71">
        <f>E99+F98</f>
        <v>-5864649.3664625259</v>
      </c>
      <c r="G99" s="71">
        <f>F99+G98</f>
        <v>-3551351.8482363923</v>
      </c>
      <c r="H99" s="71">
        <f>G99+H98</f>
        <v>-511030.08779146848</v>
      </c>
      <c r="I99" s="92"/>
      <c r="J99" s="92"/>
    </row>
    <row r="100" spans="2:10">
      <c r="B100" s="7"/>
      <c r="C100" s="7"/>
      <c r="D100" s="7"/>
      <c r="E100" s="7"/>
      <c r="F100" s="7"/>
      <c r="G100" s="7"/>
      <c r="H100" s="7"/>
      <c r="I100" s="7"/>
      <c r="J100" s="7"/>
    </row>
    <row r="101" spans="2:10">
      <c r="B101" s="27" t="s">
        <v>283</v>
      </c>
      <c r="C101" s="7"/>
      <c r="D101" s="64">
        <f>4+(-G99/H98)</f>
        <v>5.1680842121515074</v>
      </c>
      <c r="E101" s="7"/>
      <c r="F101" s="7"/>
      <c r="G101" s="7"/>
      <c r="H101" s="7"/>
      <c r="I101" s="7"/>
      <c r="J101" s="7"/>
    </row>
    <row r="102" spans="2:10">
      <c r="B102" s="7"/>
      <c r="C102" s="7"/>
      <c r="D102" s="7"/>
      <c r="E102" s="7"/>
      <c r="F102" s="7"/>
      <c r="G102" s="7"/>
      <c r="H102" s="7"/>
      <c r="I102" s="7"/>
      <c r="J102" s="7"/>
    </row>
    <row r="103" spans="2:10">
      <c r="B103" s="460" t="s">
        <v>429</v>
      </c>
      <c r="C103" s="460"/>
      <c r="D103" s="460"/>
      <c r="E103" s="460"/>
      <c r="F103" s="460"/>
      <c r="G103" s="460"/>
      <c r="H103" s="460"/>
      <c r="I103" s="460"/>
      <c r="J103" s="460"/>
    </row>
    <row r="105" spans="2:10" ht="18.75">
      <c r="B105" s="412" t="s">
        <v>559</v>
      </c>
      <c r="C105" s="412"/>
      <c r="D105" s="412"/>
      <c r="E105" s="412"/>
      <c r="F105" s="412"/>
      <c r="G105" s="412"/>
      <c r="H105" s="412"/>
      <c r="I105" s="412"/>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-96490.961468752474</v>
      </c>
      <c r="D109" s="95">
        <f>'6.Cons Profit &amp; Loss'!C38</f>
        <v>2100589.9926876612</v>
      </c>
      <c r="E109" s="95">
        <f>'6.Cons Profit &amp; Loss'!D38</f>
        <v>3108522.3938960694</v>
      </c>
      <c r="F109" s="95">
        <f>'6.Cons Profit &amp; Loss'!E38</f>
        <v>4211996.5602435879</v>
      </c>
      <c r="G109" s="95">
        <f>'6.Cons Profit &amp; Loss'!F38</f>
        <v>5418046.8372411244</v>
      </c>
      <c r="H109" s="95">
        <f>'6.Cons Profit &amp; Loss'!G38</f>
        <v>6703541.3930378109</v>
      </c>
      <c r="I109" s="95">
        <f>'6.Cons Profit &amp; Loss'!H38</f>
        <v>8104040.2873210683</v>
      </c>
    </row>
    <row r="110" spans="2:10">
      <c r="B110" s="94" t="s">
        <v>348</v>
      </c>
      <c r="C110" s="95">
        <f>'6.Cons Profit &amp; Loss'!B40</f>
        <v>257500.50639999998</v>
      </c>
      <c r="D110" s="95">
        <f>'6.Cons Profit &amp; Loss'!C40</f>
        <v>257500.50639999998</v>
      </c>
      <c r="E110" s="95">
        <f>'6.Cons Profit &amp; Loss'!D40</f>
        <v>257500.50639999998</v>
      </c>
      <c r="F110" s="95">
        <f>'6.Cons Profit &amp; Loss'!E40</f>
        <v>257500.50639999998</v>
      </c>
      <c r="G110" s="95">
        <f>'6.Cons Profit &amp; Loss'!F40</f>
        <v>257500.50639999998</v>
      </c>
      <c r="H110" s="95">
        <f>'6.Cons Profit &amp; Loss'!G40</f>
        <v>257500.50639999998</v>
      </c>
      <c r="I110" s="95">
        <f>'6.Cons Profit &amp; Loss'!H40</f>
        <v>257500.50639999998</v>
      </c>
    </row>
    <row r="111" spans="2:10">
      <c r="B111" s="94" t="s">
        <v>349</v>
      </c>
      <c r="C111" s="95">
        <f>'6.Cons Profit &amp; Loss'!B41</f>
        <v>70000</v>
      </c>
      <c r="D111" s="95">
        <f>'6.Cons Profit &amp; Loss'!C41</f>
        <v>70000</v>
      </c>
      <c r="E111" s="95">
        <f>'6.Cons Profit &amp; Loss'!D41</f>
        <v>70000</v>
      </c>
      <c r="F111" s="95">
        <f>'6.Cons Profit &amp; Loss'!E41</f>
        <v>70000</v>
      </c>
      <c r="G111" s="95">
        <f>'6.Cons Profit &amp; Loss'!F41</f>
        <v>70000</v>
      </c>
      <c r="H111" s="95">
        <f>'6.Cons Profit &amp; Loss'!G41</f>
        <v>0</v>
      </c>
      <c r="I111" s="95">
        <f>'6.Cons Profit &amp; Loss'!H41</f>
        <v>0</v>
      </c>
    </row>
    <row r="112" spans="2:10">
      <c r="B112" s="94" t="s">
        <v>350</v>
      </c>
      <c r="C112" s="95">
        <f>'8.Cash Flow '!C26</f>
        <v>0</v>
      </c>
      <c r="D112" s="95">
        <f>'8.Cash Flow '!D26</f>
        <v>0</v>
      </c>
      <c r="E112" s="95">
        <f>'8.Cash Flow '!E26</f>
        <v>0</v>
      </c>
      <c r="F112" s="95">
        <f>'8.Cash Flow '!F26</f>
        <v>0</v>
      </c>
      <c r="G112" s="95">
        <f>'8.Cash Flow '!G26</f>
        <v>0</v>
      </c>
      <c r="H112" s="95">
        <f>'8.Cash Flow '!H26</f>
        <v>0</v>
      </c>
      <c r="I112" s="95">
        <f>'8.Cash Flow '!I26</f>
        <v>0</v>
      </c>
    </row>
    <row r="113" spans="2:18">
      <c r="B113" s="96" t="s">
        <v>1</v>
      </c>
      <c r="C113" s="97">
        <f>SUM(C109:C112)</f>
        <v>231009.54493124751</v>
      </c>
      <c r="D113" s="97">
        <f t="shared" ref="D113:I113" si="11">SUM(D109:D112)</f>
        <v>2428090.499087661</v>
      </c>
      <c r="E113" s="97">
        <f t="shared" si="11"/>
        <v>3436022.9002960692</v>
      </c>
      <c r="F113" s="97">
        <f t="shared" si="11"/>
        <v>4539497.0666435882</v>
      </c>
      <c r="G113" s="97">
        <f t="shared" si="11"/>
        <v>5745547.3436411247</v>
      </c>
      <c r="H113" s="97">
        <f t="shared" si="11"/>
        <v>6961041.8994378112</v>
      </c>
      <c r="I113" s="97">
        <f t="shared" si="11"/>
        <v>8361540.7937210687</v>
      </c>
    </row>
    <row r="114" spans="2:18">
      <c r="B114" s="94"/>
      <c r="C114" s="94"/>
      <c r="D114" s="94"/>
      <c r="E114" s="94"/>
      <c r="F114" s="94"/>
      <c r="G114" s="94"/>
      <c r="H114" s="94"/>
      <c r="I114" s="94"/>
    </row>
    <row r="115" spans="2:18">
      <c r="B115" s="98" t="s">
        <v>284</v>
      </c>
      <c r="C115" s="99">
        <f>'8.Cash Flow '!C25+'8.Cash Flow '!C26</f>
        <v>0</v>
      </c>
      <c r="D115" s="99">
        <f>'8.Cash Flow '!D25+'8.Cash Flow '!D26</f>
        <v>0</v>
      </c>
      <c r="E115" s="99">
        <f>'8.Cash Flow '!E25+'8.Cash Flow '!E26</f>
        <v>0</v>
      </c>
      <c r="F115" s="99">
        <f>'8.Cash Flow '!F25+'8.Cash Flow '!F26</f>
        <v>0</v>
      </c>
      <c r="G115" s="99">
        <f>'8.Cash Flow '!G25+'8.Cash Flow '!G26</f>
        <v>0</v>
      </c>
      <c r="H115" s="99">
        <f>'8.Cash Flow '!H25+'8.Cash Flow '!H26</f>
        <v>0</v>
      </c>
      <c r="I115" s="99">
        <f>'8.Cash Flow '!I25+'8.Cash Flow '!I26</f>
        <v>0</v>
      </c>
    </row>
    <row r="116" spans="2:18">
      <c r="B116" s="94"/>
      <c r="C116" s="94"/>
      <c r="D116" s="94"/>
      <c r="E116" s="94"/>
      <c r="F116" s="94"/>
      <c r="G116" s="94"/>
      <c r="H116" s="94"/>
      <c r="I116" s="94"/>
    </row>
    <row r="117" spans="2:18">
      <c r="B117" s="100" t="s">
        <v>336</v>
      </c>
      <c r="C117" s="101" t="e">
        <f>C113/C115</f>
        <v>#DIV/0!</v>
      </c>
      <c r="D117" s="101" t="e">
        <f t="shared" ref="D117:I117" si="12">D113/D115</f>
        <v>#DIV/0!</v>
      </c>
      <c r="E117" s="101" t="e">
        <f t="shared" si="12"/>
        <v>#DIV/0!</v>
      </c>
      <c r="F117" s="101" t="e">
        <f t="shared" si="12"/>
        <v>#DIV/0!</v>
      </c>
      <c r="G117" s="101" t="e">
        <f t="shared" si="12"/>
        <v>#DIV/0!</v>
      </c>
      <c r="H117" s="101" t="e">
        <f t="shared" si="12"/>
        <v>#DIV/0!</v>
      </c>
      <c r="I117" s="101" t="e">
        <f t="shared" si="12"/>
        <v>#DIV/0!</v>
      </c>
    </row>
    <row r="118" spans="2:18">
      <c r="B118" s="93"/>
      <c r="C118" s="93"/>
      <c r="D118" s="93"/>
      <c r="E118" s="93"/>
      <c r="F118" s="93"/>
      <c r="G118" s="93"/>
      <c r="H118" s="93"/>
      <c r="I118" s="93"/>
    </row>
    <row r="119" spans="2:18">
      <c r="B119" s="93" t="s">
        <v>337</v>
      </c>
      <c r="C119" s="102" t="e">
        <f>AVERAGE(C117:I117)</f>
        <v>#DIV/0!</v>
      </c>
      <c r="D119" s="93"/>
      <c r="E119" s="93"/>
      <c r="F119" s="93"/>
      <c r="G119" s="93"/>
      <c r="H119" s="93"/>
      <c r="I119" s="93"/>
    </row>
    <row r="121" spans="2:18" ht="29.45" customHeight="1">
      <c r="B121" s="423" t="s">
        <v>430</v>
      </c>
      <c r="C121" s="423"/>
      <c r="D121" s="423"/>
      <c r="E121" s="423"/>
      <c r="F121" s="423"/>
      <c r="G121" s="423"/>
      <c r="H121" s="423"/>
      <c r="I121" s="423"/>
      <c r="J121" s="423"/>
    </row>
    <row r="123" spans="2:18" ht="21">
      <c r="B123" s="455" t="s">
        <v>560</v>
      </c>
      <c r="C123" s="456"/>
      <c r="D123" s="456"/>
      <c r="E123" s="456"/>
      <c r="F123" s="456"/>
      <c r="G123" s="456"/>
      <c r="H123" s="456"/>
      <c r="I123" s="456"/>
      <c r="K123" s="457"/>
      <c r="L123" s="457"/>
      <c r="M123" s="457"/>
      <c r="N123" s="457"/>
      <c r="O123" s="457"/>
      <c r="P123" s="457"/>
      <c r="Q123" s="457"/>
      <c r="R123" s="457"/>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10989553.46346</v>
      </c>
      <c r="D125" s="323">
        <f>'6.Cons Profit &amp; Loss'!C6*(1+$M$126)</f>
        <v>21113785.035535503</v>
      </c>
      <c r="E125" s="323">
        <f>'6.Cons Profit &amp; Loss'!D6*(1+$M$126)</f>
        <v>25527831.593712527</v>
      </c>
      <c r="F125" s="323">
        <f>'6.Cons Profit &amp; Loss'!E6*(1+$M$126)</f>
        <v>30330498.345118411</v>
      </c>
      <c r="G125" s="323">
        <f>'6.Cons Profit &amp; Loss'!F6*(1+$M$126)</f>
        <v>35549612.192680612</v>
      </c>
      <c r="H125" s="323">
        <f>'6.Cons Profit &amp; Loss'!G6*(1+$M$126)</f>
        <v>41214811.179136232</v>
      </c>
      <c r="I125" s="323">
        <f>'6.Cons Profit &amp; Loss'!H6*(1+$M$126)</f>
        <v>47357656.03375572</v>
      </c>
    </row>
    <row r="126" spans="2:18">
      <c r="B126" s="74" t="str">
        <f>'6.Cons Profit &amp; Loss'!A7</f>
        <v>Faclitiy 2 - Processing Unit- Cleaning, Grading</v>
      </c>
      <c r="C126" s="323">
        <f>'6.Cons Profit &amp; Loss'!B7*(1+$M$126)</f>
        <v>531931.12084199989</v>
      </c>
      <c r="D126" s="323">
        <f>'6.Cons Profit &amp; Loss'!C7*(1+$M$126)</f>
        <v>861935.71904055006</v>
      </c>
      <c r="E126" s="323">
        <f>'6.Cons Profit &amp; Loss'!D7*(1+$M$126)</f>
        <v>1210935.2423067898</v>
      </c>
      <c r="F126" s="323">
        <f>'6.Cons Profit &amp; Loss'!E7*(1+$M$126)</f>
        <v>1592679.8786020528</v>
      </c>
      <c r="G126" s="323">
        <f>'6.Cons Profit &amp; Loss'!F7*(1+$M$126)</f>
        <v>2009571.640421075</v>
      </c>
      <c r="H126" s="323">
        <f>'6.Cons Profit &amp; Loss'!G7*(1+$M$126)</f>
        <v>2464170.8787254938</v>
      </c>
      <c r="I126" s="323">
        <f>'6.Cons Profit &amp; Loss'!H7*(1+$M$126)</f>
        <v>2959206.1117593022</v>
      </c>
      <c r="L126" s="5" t="s">
        <v>369</v>
      </c>
      <c r="M126" s="263">
        <v>0.03</v>
      </c>
    </row>
    <row r="127" spans="2:18">
      <c r="B127" s="74" t="str">
        <f>'6.Cons Profit &amp; Loss'!A8</f>
        <v>Faclitiy 3 - Warehouse</v>
      </c>
      <c r="C127" s="323">
        <f>'6.Cons Profit &amp; Loss'!B8*(1+$M$126)</f>
        <v>395520</v>
      </c>
      <c r="D127" s="323">
        <f>'6.Cons Profit &amp; Loss'!C8*(1+$M$126)</f>
        <v>441252.00000000012</v>
      </c>
      <c r="E127" s="323">
        <f>'6.Cons Profit &amp; Loss'!D8*(1+$M$126)</f>
        <v>490568.40000000014</v>
      </c>
      <c r="F127" s="323">
        <f>'6.Cons Profit &amp; Loss'!E8*(1+$M$126)</f>
        <v>543713.31000000029</v>
      </c>
      <c r="G127" s="323">
        <f>'6.Cons Profit &amp; Loss'!F8*(1+$M$126)</f>
        <v>600946.29000000039</v>
      </c>
      <c r="H127" s="323">
        <f>'6.Cons Profit &amp; Loss'!G8*(1+$M$126)</f>
        <v>630993.60450000037</v>
      </c>
      <c r="I127" s="323">
        <f>'6.Cons Profit &amp; Loss'!H8*(1+$M$126)</f>
        <v>662543.2847250005</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11917004.584302001</v>
      </c>
      <c r="D132" s="323">
        <f t="shared" ref="D132:I132" si="13">SUM(D125:D131)</f>
        <v>22416972.754576053</v>
      </c>
      <c r="E132" s="323">
        <f t="shared" si="13"/>
        <v>27229335.236019317</v>
      </c>
      <c r="F132" s="323">
        <f t="shared" si="13"/>
        <v>32466891.533720464</v>
      </c>
      <c r="G132" s="323">
        <f t="shared" si="13"/>
        <v>38160130.123101689</v>
      </c>
      <c r="H132" s="323">
        <f t="shared" si="13"/>
        <v>44309975.662361726</v>
      </c>
      <c r="I132" s="323">
        <f t="shared" si="13"/>
        <v>50979405.430240028</v>
      </c>
    </row>
    <row r="133" spans="2:9">
      <c r="B133" s="74" t="s">
        <v>353</v>
      </c>
      <c r="C133" s="323"/>
      <c r="D133" s="323"/>
      <c r="E133" s="323"/>
      <c r="F133" s="323"/>
      <c r="G133" s="323"/>
      <c r="H133" s="323"/>
      <c r="I133" s="323"/>
    </row>
    <row r="134" spans="2:9">
      <c r="B134" s="74" t="s">
        <v>354</v>
      </c>
      <c r="C134" s="323">
        <f>'6.Cons Profit &amp; Loss'!B34</f>
        <v>2762800</v>
      </c>
      <c r="D134" s="323">
        <f>'6.Cons Profit &amp; Loss'!C34</f>
        <v>2900940</v>
      </c>
      <c r="E134" s="323">
        <f>'6.Cons Profit &amp; Loss'!D34</f>
        <v>3045987</v>
      </c>
      <c r="F134" s="323">
        <f>'6.Cons Profit &amp; Loss'!E34</f>
        <v>3198286.3500000006</v>
      </c>
      <c r="G134" s="323">
        <f>'6.Cons Profit &amp; Loss'!F34</f>
        <v>3358200.6675000004</v>
      </c>
      <c r="H134" s="323">
        <f>'6.Cons Profit &amp; Loss'!G34</f>
        <v>3526110.7008750006</v>
      </c>
      <c r="I134" s="323">
        <f>'6.Cons Profit &amp; Loss'!H34</f>
        <v>3702416.235918751</v>
      </c>
    </row>
    <row r="135" spans="2:9">
      <c r="B135" s="74" t="s">
        <v>312</v>
      </c>
      <c r="C135" s="323">
        <f>'6.Cons Profit &amp; Loss'!B23*(1+M126)</f>
        <v>9170706.2746148147</v>
      </c>
      <c r="D135" s="323">
        <f>'6.Cons Profit &amp; Loss'!C23*(1+N126)</f>
        <v>16762521.225347342</v>
      </c>
      <c r="E135" s="323">
        <f>'6.Cons Profit &amp; Loss'!D23*(1+O126)</f>
        <v>20281738.408064432</v>
      </c>
      <c r="F135" s="323">
        <f>'6.Cons Profit &amp; Loss'!E23*(1+P126)</f>
        <v>24110971.005989868</v>
      </c>
      <c r="G135" s="323">
        <f>'6.Cons Profit &amp; Loss'!F23*(1+Q126)</f>
        <v>28272422.517687693</v>
      </c>
      <c r="H135" s="323">
        <f>'6.Cons Profit &amp; Loss'!G23*(1+R126)</f>
        <v>32789741.75304031</v>
      </c>
      <c r="I135" s="323">
        <f>'6.Cons Profit &amp; Loss'!H23*(1+S126)</f>
        <v>37688111.855633989</v>
      </c>
    </row>
    <row r="136" spans="2:9">
      <c r="B136" s="74" t="s">
        <v>355</v>
      </c>
      <c r="C136" s="323">
        <f t="shared" ref="C136:I136" si="14">SUM(C134:C135)</f>
        <v>11933506.274614815</v>
      </c>
      <c r="D136" s="323">
        <f t="shared" si="14"/>
        <v>19663461.22534734</v>
      </c>
      <c r="E136" s="323">
        <f t="shared" si="14"/>
        <v>23327725.408064432</v>
      </c>
      <c r="F136" s="323">
        <f t="shared" si="14"/>
        <v>27309257.35598987</v>
      </c>
      <c r="G136" s="323">
        <f t="shared" si="14"/>
        <v>31630623.185187694</v>
      </c>
      <c r="H136" s="323">
        <f t="shared" si="14"/>
        <v>36315852.453915313</v>
      </c>
      <c r="I136" s="323">
        <f t="shared" si="14"/>
        <v>41390528.091552742</v>
      </c>
    </row>
    <row r="137" spans="2:9">
      <c r="B137" s="77" t="s">
        <v>356</v>
      </c>
      <c r="C137" s="325">
        <f t="shared" ref="C137:I137" si="15">+C132-C136</f>
        <v>-16501.690312813967</v>
      </c>
      <c r="D137" s="325">
        <f t="shared" si="15"/>
        <v>2753511.5292287134</v>
      </c>
      <c r="E137" s="325">
        <f t="shared" si="15"/>
        <v>3901609.8279548846</v>
      </c>
      <c r="F137" s="325">
        <f t="shared" si="15"/>
        <v>5157634.1777305938</v>
      </c>
      <c r="G137" s="325">
        <f t="shared" si="15"/>
        <v>6529506.9379139952</v>
      </c>
      <c r="H137" s="325">
        <f t="shared" si="15"/>
        <v>7994123.2084464133</v>
      </c>
      <c r="I137" s="325">
        <f t="shared" si="15"/>
        <v>9588877.3386872858</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10669469.381999999</v>
      </c>
      <c r="D140" s="76">
        <f>'6.Cons Profit &amp; Loss'!C6</f>
        <v>20498820.422850002</v>
      </c>
      <c r="E140" s="76">
        <f>'6.Cons Profit &amp; Loss'!D6</f>
        <v>24784302.518167503</v>
      </c>
      <c r="F140" s="76">
        <f>'6.Cons Profit &amp; Loss'!E6</f>
        <v>29447085.771959621</v>
      </c>
      <c r="G140" s="76">
        <f>'6.Cons Profit &amp; Loss'!F6</f>
        <v>34514186.594835542</v>
      </c>
      <c r="H140" s="76">
        <f>'6.Cons Profit &amp; Loss'!G6</f>
        <v>40014379.785569154</v>
      </c>
      <c r="I140" s="76">
        <f>'6.Cons Profit &amp; Loss'!H6</f>
        <v>45978306.82888905</v>
      </c>
    </row>
    <row r="141" spans="2:9">
      <c r="B141" s="74" t="str">
        <f t="shared" si="16"/>
        <v>Faclitiy 2 - Processing Unit- Cleaning, Grading</v>
      </c>
      <c r="C141" s="76">
        <f>'6.Cons Profit &amp; Loss'!B7</f>
        <v>516437.98139999993</v>
      </c>
      <c r="D141" s="76">
        <f>'6.Cons Profit &amp; Loss'!C7</f>
        <v>836830.79518500005</v>
      </c>
      <c r="E141" s="76">
        <f>'6.Cons Profit &amp; Loss'!D7</f>
        <v>1175665.2837929998</v>
      </c>
      <c r="F141" s="76">
        <f>'6.Cons Profit &amp; Loss'!E7</f>
        <v>1546291.1442738376</v>
      </c>
      <c r="G141" s="76">
        <f>'6.Cons Profit &amp; Loss'!F7</f>
        <v>1951040.4275932766</v>
      </c>
      <c r="H141" s="76">
        <f>'6.Cons Profit &amp; Loss'!G7</f>
        <v>2392398.9113839744</v>
      </c>
      <c r="I141" s="76">
        <f>'6.Cons Profit &amp; Loss'!H7</f>
        <v>2873015.6424847594</v>
      </c>
    </row>
    <row r="142" spans="2:9">
      <c r="B142" s="74" t="str">
        <f t="shared" si="16"/>
        <v>Faclitiy 3 - Warehouse</v>
      </c>
      <c r="C142" s="76">
        <f>'6.Cons Profit &amp; Loss'!B8</f>
        <v>384000</v>
      </c>
      <c r="D142" s="76">
        <f>'6.Cons Profit &amp; Loss'!C8</f>
        <v>428400.00000000012</v>
      </c>
      <c r="E142" s="76">
        <f>'6.Cons Profit &amp; Loss'!D8</f>
        <v>476280.00000000012</v>
      </c>
      <c r="F142" s="76">
        <f>'6.Cons Profit &amp; Loss'!E8</f>
        <v>527877.00000000023</v>
      </c>
      <c r="G142" s="76">
        <f>'6.Cons Profit &amp; Loss'!F8</f>
        <v>583443.00000000035</v>
      </c>
      <c r="H142" s="76">
        <f>'6.Cons Profit &amp; Loss'!G8</f>
        <v>612615.15000000037</v>
      </c>
      <c r="I142" s="76">
        <f>'6.Cons Profit &amp; Loss'!H8</f>
        <v>643245.90750000044</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11569907.363399999</v>
      </c>
      <c r="D147" s="76">
        <f t="shared" ref="D147:I147" si="17">SUM(D140:D146)</f>
        <v>21764051.218035001</v>
      </c>
      <c r="E147" s="76">
        <f t="shared" si="17"/>
        <v>26436247.801960502</v>
      </c>
      <c r="F147" s="76">
        <f t="shared" si="17"/>
        <v>31521253.916233458</v>
      </c>
      <c r="G147" s="76">
        <f t="shared" si="17"/>
        <v>37048670.022428818</v>
      </c>
      <c r="H147" s="76">
        <f t="shared" si="17"/>
        <v>43019393.846953124</v>
      </c>
      <c r="I147" s="76">
        <f t="shared" si="17"/>
        <v>49494568.37887381</v>
      </c>
    </row>
    <row r="148" spans="2:15">
      <c r="B148" s="74" t="s">
        <v>353</v>
      </c>
      <c r="C148" s="81"/>
      <c r="D148" s="76"/>
      <c r="E148" s="76"/>
      <c r="F148" s="76"/>
      <c r="G148" s="76"/>
      <c r="H148" s="76"/>
      <c r="I148" s="76"/>
    </row>
    <row r="149" spans="2:15">
      <c r="B149" s="74" t="s">
        <v>354</v>
      </c>
      <c r="C149" s="75">
        <f>'6.Cons Profit &amp; Loss'!B34</f>
        <v>2762800</v>
      </c>
      <c r="D149" s="75">
        <f>'6.Cons Profit &amp; Loss'!C34</f>
        <v>2900940</v>
      </c>
      <c r="E149" s="75">
        <f>'6.Cons Profit &amp; Loss'!D34</f>
        <v>3045987</v>
      </c>
      <c r="F149" s="75">
        <f>'6.Cons Profit &amp; Loss'!E34</f>
        <v>3198286.3500000006</v>
      </c>
      <c r="G149" s="75">
        <f>'6.Cons Profit &amp; Loss'!F34</f>
        <v>3358200.6675000004</v>
      </c>
      <c r="H149" s="75">
        <f>'6.Cons Profit &amp; Loss'!G34</f>
        <v>3526110.7008750006</v>
      </c>
      <c r="I149" s="75">
        <f>'6.Cons Profit &amp; Loss'!H34</f>
        <v>3702416.235918751</v>
      </c>
    </row>
    <row r="150" spans="2:15">
      <c r="B150" s="74" t="s">
        <v>312</v>
      </c>
      <c r="C150" s="75">
        <f>'6.Cons Profit &amp; Loss'!B23*(1+$M$127)</f>
        <v>9170706.2746148147</v>
      </c>
      <c r="D150" s="75">
        <f>'6.Cons Profit &amp; Loss'!C23*(1+$M$127)</f>
        <v>17265396.862107761</v>
      </c>
      <c r="E150" s="75">
        <f>'6.Cons Profit &amp; Loss'!D23*(1+$M$127)</f>
        <v>20890190.560306367</v>
      </c>
      <c r="F150" s="75">
        <f>'6.Cons Profit &amp; Loss'!E23*(1+$M$127)</f>
        <v>24834300.136169564</v>
      </c>
      <c r="G150" s="75">
        <f>'6.Cons Profit &amp; Loss'!F23*(1+$M$127)</f>
        <v>29120595.193218324</v>
      </c>
      <c r="H150" s="75">
        <f>'6.Cons Profit &amp; Loss'!G23*(1+$M$127)</f>
        <v>33773434.005631521</v>
      </c>
      <c r="I150" s="75">
        <f>'6.Cons Profit &amp; Loss'!H23*(1+$M$127)</f>
        <v>38818755.211303011</v>
      </c>
    </row>
    <row r="151" spans="2:15">
      <c r="B151" s="74" t="s">
        <v>355</v>
      </c>
      <c r="C151" s="75">
        <f t="shared" ref="C151:I151" si="18">SUM(C149:C150)</f>
        <v>11933506.274614815</v>
      </c>
      <c r="D151" s="75">
        <f t="shared" si="18"/>
        <v>20166336.862107761</v>
      </c>
      <c r="E151" s="75">
        <f t="shared" si="18"/>
        <v>23936177.560306367</v>
      </c>
      <c r="F151" s="75">
        <f t="shared" si="18"/>
        <v>28032586.486169565</v>
      </c>
      <c r="G151" s="75">
        <f t="shared" si="18"/>
        <v>32478795.860718325</v>
      </c>
      <c r="H151" s="75">
        <f t="shared" si="18"/>
        <v>37299544.706506521</v>
      </c>
      <c r="I151" s="75">
        <f t="shared" si="18"/>
        <v>42521171.447221763</v>
      </c>
    </row>
    <row r="152" spans="2:15">
      <c r="B152" s="77" t="s">
        <v>356</v>
      </c>
      <c r="C152" s="78">
        <f t="shared" ref="C152:I152" si="19">+C147-C151</f>
        <v>-363598.91121481545</v>
      </c>
      <c r="D152" s="78">
        <f t="shared" si="19"/>
        <v>1597714.3559272401</v>
      </c>
      <c r="E152" s="78">
        <f t="shared" si="19"/>
        <v>2500070.2416541353</v>
      </c>
      <c r="F152" s="78">
        <f t="shared" si="19"/>
        <v>3488667.4300638922</v>
      </c>
      <c r="G152" s="78">
        <f t="shared" si="19"/>
        <v>4569874.1617104933</v>
      </c>
      <c r="H152" s="78">
        <f t="shared" si="19"/>
        <v>5719849.1404466033</v>
      </c>
      <c r="I152" s="78">
        <f t="shared" si="19"/>
        <v>6973396.9316520467</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10349385.300539998</v>
      </c>
      <c r="D155" s="323">
        <f>'6.Cons Profit &amp; Loss'!C6*(1-$M$126)</f>
        <v>19883855.8101645</v>
      </c>
      <c r="E155" s="323">
        <f>'6.Cons Profit &amp; Loss'!D6*(1-$M$126)</f>
        <v>24040773.442622479</v>
      </c>
      <c r="F155" s="323">
        <f>'6.Cons Profit &amp; Loss'!E6*(1-$M$126)</f>
        <v>28563673.198800832</v>
      </c>
      <c r="G155" s="323">
        <f>'6.Cons Profit &amp; Loss'!F6*(1-$M$126)</f>
        <v>33478760.996990476</v>
      </c>
      <c r="H155" s="323">
        <f>'6.Cons Profit &amp; Loss'!G6*(1-$M$126)</f>
        <v>38813948.392002076</v>
      </c>
      <c r="I155" s="323">
        <f>'6.Cons Profit &amp; Loss'!H6*(1-$M$126)</f>
        <v>44598957.62402238</v>
      </c>
    </row>
    <row r="156" spans="2:15">
      <c r="B156" s="74" t="str">
        <f t="shared" si="20"/>
        <v>Faclitiy 2 - Processing Unit- Cleaning, Grading</v>
      </c>
      <c r="C156" s="323">
        <f>'6.Cons Profit &amp; Loss'!B7*(1-$M$126)</f>
        <v>500944.84195799992</v>
      </c>
      <c r="D156" s="323">
        <f>'6.Cons Profit &amp; Loss'!C7*(1-$M$126)</f>
        <v>811725.87132945005</v>
      </c>
      <c r="E156" s="323">
        <f>'6.Cons Profit &amp; Loss'!D7*(1-$M$126)</f>
        <v>1140395.3252792098</v>
      </c>
      <c r="F156" s="323">
        <f>'6.Cons Profit &amp; Loss'!E7*(1-$M$126)</f>
        <v>1499902.4099456223</v>
      </c>
      <c r="G156" s="323">
        <f>'6.Cons Profit &amp; Loss'!F7*(1-$M$126)</f>
        <v>1892509.2147654782</v>
      </c>
      <c r="H156" s="323">
        <f>'6.Cons Profit &amp; Loss'!G7*(1-$M$126)</f>
        <v>2320626.9440424549</v>
      </c>
      <c r="I156" s="323">
        <f>'6.Cons Profit &amp; Loss'!H7*(1-$M$126)</f>
        <v>2786825.1732102167</v>
      </c>
    </row>
    <row r="157" spans="2:15">
      <c r="B157" s="74" t="str">
        <f t="shared" si="20"/>
        <v>Faclitiy 3 - Warehouse</v>
      </c>
      <c r="C157" s="323">
        <f>'6.Cons Profit &amp; Loss'!B8*(1-$M$126)</f>
        <v>372480</v>
      </c>
      <c r="D157" s="323">
        <f>'6.Cons Profit &amp; Loss'!C8*(1-$M$126)</f>
        <v>415548.00000000012</v>
      </c>
      <c r="E157" s="323">
        <f>'6.Cons Profit &amp; Loss'!D8*(1-$M$126)</f>
        <v>461991.60000000009</v>
      </c>
      <c r="F157" s="323">
        <f>'6.Cons Profit &amp; Loss'!E8*(1-$M$126)</f>
        <v>512040.69000000024</v>
      </c>
      <c r="G157" s="323">
        <f>'6.Cons Profit &amp; Loss'!F8*(1-$M$126)</f>
        <v>565939.71000000031</v>
      </c>
      <c r="H157" s="323">
        <f>'6.Cons Profit &amp; Loss'!G8*(1-$M$126)</f>
        <v>594236.69550000038</v>
      </c>
      <c r="I157" s="323">
        <f>'6.Cons Profit &amp; Loss'!H8*(1-$M$126)</f>
        <v>623948.53027500038</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11222810.142497998</v>
      </c>
      <c r="D162" s="323">
        <f t="shared" ref="D162:I162" si="21">SUM(D155:D161)</f>
        <v>21111129.681493949</v>
      </c>
      <c r="E162" s="323">
        <f t="shared" si="21"/>
        <v>25643160.36790169</v>
      </c>
      <c r="F162" s="323">
        <f t="shared" si="21"/>
        <v>30575616.298746455</v>
      </c>
      <c r="G162" s="323">
        <f t="shared" si="21"/>
        <v>35937209.921755955</v>
      </c>
      <c r="H162" s="323">
        <f t="shared" si="21"/>
        <v>41728812.031544529</v>
      </c>
      <c r="I162" s="323">
        <f t="shared" si="21"/>
        <v>48009731.3275076</v>
      </c>
    </row>
    <row r="163" spans="2:9">
      <c r="B163" s="74" t="s">
        <v>353</v>
      </c>
      <c r="C163" s="323"/>
      <c r="D163" s="323"/>
      <c r="E163" s="323"/>
      <c r="F163" s="323"/>
      <c r="G163" s="323"/>
      <c r="H163" s="323"/>
      <c r="I163" s="323"/>
    </row>
    <row r="164" spans="2:9">
      <c r="B164" s="74" t="s">
        <v>354</v>
      </c>
      <c r="C164" s="323">
        <f>'6.Cons Profit &amp; Loss'!B34</f>
        <v>2762800</v>
      </c>
      <c r="D164" s="323">
        <f>'6.Cons Profit &amp; Loss'!C34</f>
        <v>2900940</v>
      </c>
      <c r="E164" s="323">
        <f>'6.Cons Profit &amp; Loss'!D34</f>
        <v>3045987</v>
      </c>
      <c r="F164" s="323">
        <f>'6.Cons Profit &amp; Loss'!E34</f>
        <v>3198286.3500000006</v>
      </c>
      <c r="G164" s="323">
        <f>'6.Cons Profit &amp; Loss'!F34</f>
        <v>3358200.6675000004</v>
      </c>
      <c r="H164" s="323">
        <f>'6.Cons Profit &amp; Loss'!G34</f>
        <v>3526110.7008750006</v>
      </c>
      <c r="I164" s="323">
        <f>'6.Cons Profit &amp; Loss'!H34</f>
        <v>3702416.235918751</v>
      </c>
    </row>
    <row r="165" spans="2:9">
      <c r="B165" s="74" t="s">
        <v>312</v>
      </c>
      <c r="C165" s="323">
        <f>'6.Cons Profit &amp; Loss'!B23*(1-$M$126)</f>
        <v>8636490.3751226887</v>
      </c>
      <c r="D165" s="323">
        <f>'6.Cons Profit &amp; Loss'!C23*(1-$M$126)</f>
        <v>16259645.588586921</v>
      </c>
      <c r="E165" s="323">
        <f>'6.Cons Profit &amp; Loss'!D23*(1-$M$126)</f>
        <v>19673286.255822498</v>
      </c>
      <c r="F165" s="323">
        <f>'6.Cons Profit &amp; Loss'!E23*(1-$M$126)</f>
        <v>23387641.875810172</v>
      </c>
      <c r="G165" s="323">
        <f>'6.Cons Profit &amp; Loss'!F23*(1-$M$126)</f>
        <v>27424249.842157062</v>
      </c>
      <c r="H165" s="323">
        <f>'6.Cons Profit &amp; Loss'!G23*(1-$M$126)</f>
        <v>31806049.500449099</v>
      </c>
      <c r="I165" s="323">
        <f>'6.Cons Profit &amp; Loss'!H23*(1-$M$126)</f>
        <v>36557468.499964967</v>
      </c>
    </row>
    <row r="166" spans="2:9">
      <c r="B166" s="74" t="s">
        <v>355</v>
      </c>
      <c r="C166" s="323">
        <f t="shared" ref="C166:I166" si="22">SUM(C164:C165)</f>
        <v>11399290.375122689</v>
      </c>
      <c r="D166" s="323">
        <f t="shared" si="22"/>
        <v>19160585.588586919</v>
      </c>
      <c r="E166" s="323">
        <f t="shared" si="22"/>
        <v>22719273.255822498</v>
      </c>
      <c r="F166" s="323">
        <f t="shared" si="22"/>
        <v>26585928.225810174</v>
      </c>
      <c r="G166" s="323">
        <f t="shared" si="22"/>
        <v>30782450.509657063</v>
      </c>
      <c r="H166" s="323">
        <f t="shared" si="22"/>
        <v>35332160.201324098</v>
      </c>
      <c r="I166" s="323">
        <f t="shared" si="22"/>
        <v>40259884.73588372</v>
      </c>
    </row>
    <row r="167" spans="2:9">
      <c r="B167" s="77" t="s">
        <v>356</v>
      </c>
      <c r="C167" s="325">
        <f t="shared" ref="C167:I167" si="23">+C162-C166</f>
        <v>-176480.23262469098</v>
      </c>
      <c r="D167" s="325">
        <f t="shared" si="23"/>
        <v>1950544.0929070301</v>
      </c>
      <c r="E167" s="325">
        <f t="shared" si="23"/>
        <v>2923887.112079192</v>
      </c>
      <c r="F167" s="325">
        <f t="shared" si="23"/>
        <v>3989688.0729362816</v>
      </c>
      <c r="G167" s="325">
        <f t="shared" si="23"/>
        <v>5154759.412098892</v>
      </c>
      <c r="H167" s="325">
        <f t="shared" si="23"/>
        <v>6396651.8302204311</v>
      </c>
      <c r="I167" s="325">
        <f t="shared" si="23"/>
        <v>7749846.59162388</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10669469.381999999</v>
      </c>
      <c r="D170" s="76">
        <f>'6.Cons Profit &amp; Loss'!C6</f>
        <v>20498820.422850002</v>
      </c>
      <c r="E170" s="76">
        <f>'6.Cons Profit &amp; Loss'!D6</f>
        <v>24784302.518167503</v>
      </c>
      <c r="F170" s="76">
        <f>'6.Cons Profit &amp; Loss'!E6</f>
        <v>29447085.771959621</v>
      </c>
      <c r="G170" s="76">
        <f>'6.Cons Profit &amp; Loss'!F6</f>
        <v>34514186.594835542</v>
      </c>
      <c r="H170" s="76">
        <f>'6.Cons Profit &amp; Loss'!G6</f>
        <v>40014379.785569154</v>
      </c>
      <c r="I170" s="76">
        <f>'6.Cons Profit &amp; Loss'!H6</f>
        <v>45978306.82888905</v>
      </c>
    </row>
    <row r="171" spans="2:9">
      <c r="B171" s="74" t="str">
        <f t="shared" si="24"/>
        <v>Faclitiy 2 - Processing Unit- Cleaning, Grading</v>
      </c>
      <c r="C171" s="76">
        <f>'6.Cons Profit &amp; Loss'!B7</f>
        <v>516437.98139999993</v>
      </c>
      <c r="D171" s="76">
        <f>'6.Cons Profit &amp; Loss'!C7</f>
        <v>836830.79518500005</v>
      </c>
      <c r="E171" s="76">
        <f>'6.Cons Profit &amp; Loss'!D7</f>
        <v>1175665.2837929998</v>
      </c>
      <c r="F171" s="76">
        <f>'6.Cons Profit &amp; Loss'!E7</f>
        <v>1546291.1442738376</v>
      </c>
      <c r="G171" s="76">
        <f>'6.Cons Profit &amp; Loss'!F7</f>
        <v>1951040.4275932766</v>
      </c>
      <c r="H171" s="76">
        <f>'6.Cons Profit &amp; Loss'!G7</f>
        <v>2392398.9113839744</v>
      </c>
      <c r="I171" s="76">
        <f>'6.Cons Profit &amp; Loss'!H7</f>
        <v>2873015.6424847594</v>
      </c>
    </row>
    <row r="172" spans="2:9">
      <c r="B172" s="74" t="str">
        <f t="shared" si="24"/>
        <v>Faclitiy 3 - Warehouse</v>
      </c>
      <c r="C172" s="76">
        <f>'6.Cons Profit &amp; Loss'!B8</f>
        <v>384000</v>
      </c>
      <c r="D172" s="76">
        <f>'6.Cons Profit &amp; Loss'!C8</f>
        <v>428400.00000000012</v>
      </c>
      <c r="E172" s="76">
        <f>'6.Cons Profit &amp; Loss'!D8</f>
        <v>476280.00000000012</v>
      </c>
      <c r="F172" s="76">
        <f>'6.Cons Profit &amp; Loss'!E8</f>
        <v>527877.00000000023</v>
      </c>
      <c r="G172" s="76">
        <f>'6.Cons Profit &amp; Loss'!F8</f>
        <v>583443.00000000035</v>
      </c>
      <c r="H172" s="76">
        <f>'6.Cons Profit &amp; Loss'!G8</f>
        <v>612615.15000000037</v>
      </c>
      <c r="I172" s="76">
        <f>'6.Cons Profit &amp; Loss'!H8</f>
        <v>643245.90750000044</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11569907.363399999</v>
      </c>
      <c r="D177" s="76">
        <f t="shared" ref="D177:I177" si="25">SUM(D170:D176)</f>
        <v>21764051.218035001</v>
      </c>
      <c r="E177" s="76">
        <f t="shared" si="25"/>
        <v>26436247.801960502</v>
      </c>
      <c r="F177" s="76">
        <f t="shared" si="25"/>
        <v>31521253.916233458</v>
      </c>
      <c r="G177" s="76">
        <f t="shared" si="25"/>
        <v>37048670.022428818</v>
      </c>
      <c r="H177" s="76">
        <f t="shared" si="25"/>
        <v>43019393.846953124</v>
      </c>
      <c r="I177" s="76">
        <f t="shared" si="25"/>
        <v>49494568.37887381</v>
      </c>
    </row>
    <row r="178" spans="2:13">
      <c r="B178" s="74" t="s">
        <v>353</v>
      </c>
      <c r="C178" s="76"/>
      <c r="D178" s="76"/>
      <c r="E178" s="76"/>
      <c r="F178" s="76"/>
      <c r="G178" s="76"/>
      <c r="H178" s="76"/>
      <c r="I178" s="76"/>
    </row>
    <row r="179" spans="2:13">
      <c r="B179" s="74" t="s">
        <v>354</v>
      </c>
      <c r="C179" s="76">
        <f>'6.Cons Profit &amp; Loss'!B34</f>
        <v>2762800</v>
      </c>
      <c r="D179" s="76">
        <f>'6.Cons Profit &amp; Loss'!C34</f>
        <v>2900940</v>
      </c>
      <c r="E179" s="76">
        <f>'6.Cons Profit &amp; Loss'!D34</f>
        <v>3045987</v>
      </c>
      <c r="F179" s="76">
        <f>'6.Cons Profit &amp; Loss'!E34</f>
        <v>3198286.3500000006</v>
      </c>
      <c r="G179" s="76">
        <f>'6.Cons Profit &amp; Loss'!F34</f>
        <v>3358200.6675000004</v>
      </c>
      <c r="H179" s="76">
        <f>'6.Cons Profit &amp; Loss'!G34</f>
        <v>3526110.7008750006</v>
      </c>
      <c r="I179" s="76">
        <f>'6.Cons Profit &amp; Loss'!H34</f>
        <v>3702416.235918751</v>
      </c>
    </row>
    <row r="180" spans="2:13">
      <c r="B180" s="74" t="s">
        <v>312</v>
      </c>
      <c r="C180" s="76">
        <f>'6.Cons Profit &amp; Loss'!B23*(1-$M$127)</f>
        <v>8636490.3751226887</v>
      </c>
      <c r="D180" s="76">
        <f>'6.Cons Profit &amp; Loss'!C23*(1-$M$127)</f>
        <v>16259645.588586921</v>
      </c>
      <c r="E180" s="76">
        <f>'6.Cons Profit &amp; Loss'!D23*(1-$M$127)</f>
        <v>19673286.255822498</v>
      </c>
      <c r="F180" s="76">
        <f>'6.Cons Profit &amp; Loss'!E23*(1-$M$127)</f>
        <v>23387641.875810172</v>
      </c>
      <c r="G180" s="76">
        <f>'6.Cons Profit &amp; Loss'!F23*(1-$M$127)</f>
        <v>27424249.842157062</v>
      </c>
      <c r="H180" s="76">
        <f>'6.Cons Profit &amp; Loss'!G23*(1-$M$127)</f>
        <v>31806049.500449099</v>
      </c>
      <c r="I180" s="76">
        <f>'6.Cons Profit &amp; Loss'!H23*(1-$M$127)</f>
        <v>36557468.499964967</v>
      </c>
    </row>
    <row r="181" spans="2:13">
      <c r="B181" s="74" t="s">
        <v>355</v>
      </c>
      <c r="C181" s="76">
        <f t="shared" ref="C181:I181" si="26">SUM(C179:C180)</f>
        <v>11399290.375122689</v>
      </c>
      <c r="D181" s="76">
        <f t="shared" si="26"/>
        <v>19160585.588586919</v>
      </c>
      <c r="E181" s="76">
        <f t="shared" si="26"/>
        <v>22719273.255822498</v>
      </c>
      <c r="F181" s="76">
        <f t="shared" si="26"/>
        <v>26585928.225810174</v>
      </c>
      <c r="G181" s="76">
        <f t="shared" si="26"/>
        <v>30782450.509657063</v>
      </c>
      <c r="H181" s="76">
        <f t="shared" si="26"/>
        <v>35332160.201324098</v>
      </c>
      <c r="I181" s="76">
        <f t="shared" si="26"/>
        <v>40259884.73588372</v>
      </c>
    </row>
    <row r="182" spans="2:13">
      <c r="B182" s="77" t="s">
        <v>356</v>
      </c>
      <c r="C182" s="324">
        <f t="shared" ref="C182:I182" si="27">+C177-C181</f>
        <v>170616.98827731051</v>
      </c>
      <c r="D182" s="324">
        <f t="shared" si="27"/>
        <v>2603465.6294480823</v>
      </c>
      <c r="E182" s="324">
        <f t="shared" si="27"/>
        <v>3716974.5461380035</v>
      </c>
      <c r="F182" s="324">
        <f t="shared" si="27"/>
        <v>4935325.6904232837</v>
      </c>
      <c r="G182" s="324">
        <f t="shared" si="27"/>
        <v>6266219.5127717555</v>
      </c>
      <c r="H182" s="324">
        <f t="shared" si="27"/>
        <v>7687233.645629026</v>
      </c>
      <c r="I182" s="324">
        <f t="shared" si="27"/>
        <v>9234683.64299009</v>
      </c>
    </row>
    <row r="184" spans="2:13" ht="41.1" customHeight="1">
      <c r="B184" s="454" t="s">
        <v>542</v>
      </c>
      <c r="C184" s="454"/>
      <c r="D184" s="454"/>
      <c r="E184" s="454"/>
      <c r="F184" s="454"/>
      <c r="G184" s="454"/>
      <c r="H184" s="454"/>
      <c r="I184" s="454"/>
      <c r="J184" s="331"/>
      <c r="K184" s="331"/>
      <c r="L184" s="331"/>
      <c r="M184" s="331"/>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dimension ref="A1:Z119"/>
  <sheetViews>
    <sheetView view="pageBreakPreview" topLeftCell="A72" zoomScale="80" zoomScaleSheetLayoutView="80" workbookViewId="0">
      <selection activeCell="A39" sqref="A39:H119"/>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2" t="s">
        <v>590</v>
      </c>
      <c r="B1" s="412"/>
      <c r="C1" s="412"/>
      <c r="D1" s="412"/>
      <c r="E1" s="412"/>
      <c r="F1" s="412"/>
      <c r="G1" s="412"/>
      <c r="H1" s="412"/>
    </row>
    <row r="2" spans="1:26">
      <c r="B2" s="4"/>
    </row>
    <row r="3" spans="1:26" ht="18.75">
      <c r="A3" s="463" t="s">
        <v>561</v>
      </c>
      <c r="B3" s="463"/>
    </row>
    <row r="4" spans="1:26">
      <c r="A4" s="277" t="s">
        <v>0</v>
      </c>
      <c r="B4" s="295" t="s">
        <v>390</v>
      </c>
      <c r="C4" s="296"/>
      <c r="D4" s="296"/>
      <c r="E4" s="296"/>
      <c r="F4" s="296"/>
      <c r="G4" s="296"/>
      <c r="H4" s="296"/>
    </row>
    <row r="5" spans="1:26">
      <c r="A5" s="10" t="s">
        <v>499</v>
      </c>
      <c r="B5" s="273">
        <v>250</v>
      </c>
      <c r="C5" s="297"/>
      <c r="D5" s="298"/>
      <c r="E5" s="298"/>
      <c r="F5" s="298"/>
      <c r="G5" s="298"/>
      <c r="H5" s="298"/>
    </row>
    <row r="6" spans="1:26">
      <c r="A6" s="10" t="s">
        <v>500</v>
      </c>
      <c r="B6" s="273">
        <v>300</v>
      </c>
      <c r="C6" s="297"/>
      <c r="D6" s="298"/>
      <c r="E6" s="298"/>
      <c r="F6" s="298"/>
      <c r="G6" s="298"/>
      <c r="H6" s="298"/>
    </row>
    <row r="7" spans="1:26">
      <c r="A7" s="2" t="s">
        <v>1</v>
      </c>
      <c r="B7" s="321">
        <f>B5+B6</f>
        <v>550</v>
      </c>
      <c r="C7" s="299"/>
      <c r="D7" s="300"/>
      <c r="E7" s="300"/>
      <c r="F7" s="300"/>
      <c r="G7" s="300"/>
      <c r="H7" s="300"/>
    </row>
    <row r="8" spans="1:26">
      <c r="A8" s="2" t="s">
        <v>501</v>
      </c>
      <c r="B8" s="320">
        <v>2</v>
      </c>
      <c r="C8" s="299"/>
      <c r="D8" s="299"/>
      <c r="E8" s="299"/>
      <c r="F8" s="299"/>
      <c r="G8" s="299"/>
      <c r="H8" s="299"/>
    </row>
    <row r="9" spans="1:26">
      <c r="A9" s="2" t="s">
        <v>506</v>
      </c>
      <c r="B9" s="321">
        <f>B7*B8</f>
        <v>1100</v>
      </c>
      <c r="C9" s="300"/>
      <c r="D9" s="300"/>
      <c r="E9" s="300"/>
      <c r="F9" s="300"/>
      <c r="G9" s="300"/>
      <c r="H9" s="300"/>
    </row>
    <row r="10" spans="1:26">
      <c r="J10" t="s">
        <v>460</v>
      </c>
      <c r="O10" t="s">
        <v>456</v>
      </c>
      <c r="U10" t="s">
        <v>457</v>
      </c>
      <c r="Y10" t="s">
        <v>458</v>
      </c>
      <c r="Z10" t="s">
        <v>459</v>
      </c>
    </row>
    <row r="11" spans="1:26" ht="18.75">
      <c r="A11" s="412" t="s">
        <v>562</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165</v>
      </c>
      <c r="C14" s="288">
        <v>0.45</v>
      </c>
      <c r="D14" s="10">
        <f t="shared" ref="D14:D22" si="3">$B$9*C14</f>
        <v>495</v>
      </c>
      <c r="E14" s="274">
        <v>10</v>
      </c>
      <c r="F14" s="10">
        <f>D14*E14</f>
        <v>4950</v>
      </c>
      <c r="G14" s="289">
        <v>0.01</v>
      </c>
      <c r="H14" s="10">
        <f>(F14-F14*G14)</f>
        <v>4900.5</v>
      </c>
      <c r="J14">
        <f>$D$14*J12</f>
        <v>321.75</v>
      </c>
      <c r="K14">
        <f>$D$14*K12</f>
        <v>346.50000000000006</v>
      </c>
      <c r="L14">
        <f>$D$14*L12</f>
        <v>371.25000000000006</v>
      </c>
      <c r="M14">
        <f>$D$14*M12</f>
        <v>396.00000000000006</v>
      </c>
      <c r="N14">
        <f>$D$14*N12</f>
        <v>420.75000000000011</v>
      </c>
    </row>
    <row r="15" spans="1:26">
      <c r="A15" s="468"/>
      <c r="B15" s="273" t="s">
        <v>680</v>
      </c>
      <c r="C15" s="288">
        <v>0.05</v>
      </c>
      <c r="D15" s="10">
        <f t="shared" si="3"/>
        <v>55</v>
      </c>
      <c r="E15" s="274">
        <v>10</v>
      </c>
      <c r="F15" s="10">
        <f t="shared" ref="F15:F36" si="4">D15*E15</f>
        <v>550</v>
      </c>
      <c r="G15" s="289">
        <v>0.05</v>
      </c>
      <c r="H15" s="10">
        <f>(F15-F15*G15)</f>
        <v>522.5</v>
      </c>
    </row>
    <row r="16" spans="1:26">
      <c r="A16" s="468"/>
      <c r="B16" s="273" t="s">
        <v>678</v>
      </c>
      <c r="C16" s="288">
        <v>0.35</v>
      </c>
      <c r="D16" s="10">
        <f t="shared" si="3"/>
        <v>385</v>
      </c>
      <c r="E16" s="274">
        <v>15</v>
      </c>
      <c r="F16" s="10">
        <f t="shared" si="4"/>
        <v>5775</v>
      </c>
      <c r="G16" s="289">
        <v>0.01</v>
      </c>
      <c r="H16" s="10">
        <f t="shared" ref="H16:H36" si="5">(F16-F16*G16)</f>
        <v>5717.25</v>
      </c>
    </row>
    <row r="17" spans="1:8">
      <c r="A17" s="468"/>
      <c r="B17" s="273" t="s">
        <v>686</v>
      </c>
      <c r="C17" s="288">
        <v>0.05</v>
      </c>
      <c r="D17" s="10">
        <f t="shared" si="3"/>
        <v>55</v>
      </c>
      <c r="E17" s="274">
        <v>7</v>
      </c>
      <c r="F17" s="10">
        <f t="shared" si="4"/>
        <v>385</v>
      </c>
      <c r="G17" s="289">
        <v>0.01</v>
      </c>
      <c r="H17" s="10">
        <f t="shared" si="5"/>
        <v>381.15</v>
      </c>
    </row>
    <row r="18" spans="1:8">
      <c r="A18" s="468"/>
      <c r="B18" s="273" t="s">
        <v>399</v>
      </c>
      <c r="C18" s="288">
        <v>0</v>
      </c>
      <c r="D18" s="10">
        <f t="shared" si="3"/>
        <v>0</v>
      </c>
      <c r="E18" s="274">
        <v>0</v>
      </c>
      <c r="F18" s="10">
        <f t="shared" si="4"/>
        <v>0</v>
      </c>
      <c r="G18" s="289">
        <v>0</v>
      </c>
      <c r="H18" s="10">
        <f t="shared" si="5"/>
        <v>0</v>
      </c>
    </row>
    <row r="19" spans="1:8">
      <c r="A19" s="468"/>
      <c r="B19" s="273" t="s">
        <v>685</v>
      </c>
      <c r="C19" s="288">
        <v>0.05</v>
      </c>
      <c r="D19" s="10">
        <f t="shared" si="3"/>
        <v>55</v>
      </c>
      <c r="E19" s="274">
        <v>8</v>
      </c>
      <c r="F19" s="10">
        <f t="shared" si="4"/>
        <v>440</v>
      </c>
      <c r="G19" s="289">
        <v>0.01</v>
      </c>
      <c r="H19" s="10">
        <f t="shared" si="5"/>
        <v>435.6</v>
      </c>
    </row>
    <row r="20" spans="1:8">
      <c r="A20" s="468"/>
      <c r="B20" s="273" t="s">
        <v>476</v>
      </c>
      <c r="C20" s="288">
        <v>0</v>
      </c>
      <c r="D20" s="10">
        <f t="shared" si="3"/>
        <v>0</v>
      </c>
      <c r="E20" s="274">
        <v>0</v>
      </c>
      <c r="F20" s="10">
        <f t="shared" si="4"/>
        <v>0</v>
      </c>
      <c r="G20" s="289">
        <v>0</v>
      </c>
      <c r="H20" s="10">
        <f t="shared" si="5"/>
        <v>0</v>
      </c>
    </row>
    <row r="21" spans="1:8">
      <c r="A21" s="468"/>
      <c r="B21" s="273" t="s">
        <v>402</v>
      </c>
      <c r="C21" s="288">
        <v>0.05</v>
      </c>
      <c r="D21" s="10">
        <f t="shared" si="3"/>
        <v>55</v>
      </c>
      <c r="E21" s="274">
        <v>10</v>
      </c>
      <c r="F21" s="10">
        <f t="shared" si="4"/>
        <v>550</v>
      </c>
      <c r="G21" s="289">
        <v>0.03</v>
      </c>
      <c r="H21" s="10">
        <f t="shared" si="5"/>
        <v>533.5</v>
      </c>
    </row>
    <row r="22" spans="1:8">
      <c r="A22" s="469"/>
      <c r="B22" s="273" t="s">
        <v>679</v>
      </c>
      <c r="C22" s="288">
        <v>0</v>
      </c>
      <c r="D22" s="10">
        <f t="shared" si="3"/>
        <v>0</v>
      </c>
      <c r="E22" s="274">
        <v>0</v>
      </c>
      <c r="F22" s="10">
        <f t="shared" si="4"/>
        <v>0</v>
      </c>
      <c r="G22" s="289">
        <v>0</v>
      </c>
      <c r="H22" s="10">
        <f t="shared" si="5"/>
        <v>0</v>
      </c>
    </row>
    <row r="23" spans="1:8">
      <c r="A23" s="303" t="s">
        <v>484</v>
      </c>
      <c r="B23" s="313">
        <v>0.6</v>
      </c>
      <c r="C23" s="315">
        <f>B9*B23</f>
        <v>660</v>
      </c>
      <c r="D23" s="10"/>
      <c r="E23" s="274"/>
      <c r="F23" s="10"/>
      <c r="G23" s="289"/>
      <c r="H23" s="10"/>
    </row>
    <row r="24" spans="1:8">
      <c r="A24" s="467" t="s">
        <v>400</v>
      </c>
      <c r="B24" s="273" t="s">
        <v>401</v>
      </c>
      <c r="C24" s="288">
        <v>0.15</v>
      </c>
      <c r="D24" s="10">
        <f>C$23*C24</f>
        <v>99</v>
      </c>
      <c r="E24" s="274">
        <v>15</v>
      </c>
      <c r="F24" s="10">
        <f t="shared" si="4"/>
        <v>1485</v>
      </c>
      <c r="G24" s="289">
        <v>0.05</v>
      </c>
      <c r="H24" s="10">
        <f t="shared" si="5"/>
        <v>1410.75</v>
      </c>
    </row>
    <row r="25" spans="1:8">
      <c r="A25" s="468"/>
      <c r="B25" s="273" t="s">
        <v>679</v>
      </c>
      <c r="C25" s="288">
        <v>0.7</v>
      </c>
      <c r="D25" s="10">
        <f>C$23*C25</f>
        <v>461.99999999999994</v>
      </c>
      <c r="E25" s="274">
        <v>10</v>
      </c>
      <c r="F25" s="10">
        <f t="shared" si="4"/>
        <v>4619.9999999999991</v>
      </c>
      <c r="G25" s="289">
        <v>0.05</v>
      </c>
      <c r="H25" s="10">
        <f t="shared" si="5"/>
        <v>4388.9999999999991</v>
      </c>
    </row>
    <row r="26" spans="1:8">
      <c r="A26" s="468"/>
      <c r="B26" s="273" t="s">
        <v>402</v>
      </c>
      <c r="C26" s="288">
        <v>0.1</v>
      </c>
      <c r="D26" s="10">
        <f>C$23*C26</f>
        <v>66</v>
      </c>
      <c r="E26" s="274">
        <v>8</v>
      </c>
      <c r="F26" s="10">
        <f t="shared" si="4"/>
        <v>528</v>
      </c>
      <c r="G26" s="289">
        <v>0.03</v>
      </c>
      <c r="H26" s="10">
        <f t="shared" si="5"/>
        <v>512.16</v>
      </c>
    </row>
    <row r="27" spans="1:8">
      <c r="A27" s="468"/>
      <c r="B27" s="273" t="s">
        <v>399</v>
      </c>
      <c r="C27" s="288">
        <v>0</v>
      </c>
      <c r="D27" s="10">
        <f t="shared" ref="D27:D31" si="6">C$23*C27</f>
        <v>0</v>
      </c>
      <c r="E27" s="274">
        <v>0</v>
      </c>
      <c r="F27" s="10">
        <f t="shared" si="4"/>
        <v>0</v>
      </c>
      <c r="G27" s="289">
        <v>0</v>
      </c>
      <c r="H27" s="10">
        <f t="shared" si="5"/>
        <v>0</v>
      </c>
    </row>
    <row r="28" spans="1:8">
      <c r="A28" s="468"/>
      <c r="B28" s="273" t="s">
        <v>482</v>
      </c>
      <c r="C28" s="288">
        <v>0</v>
      </c>
      <c r="D28" s="10">
        <f t="shared" si="6"/>
        <v>0</v>
      </c>
      <c r="E28" s="274"/>
      <c r="F28" s="10">
        <f t="shared" si="4"/>
        <v>0</v>
      </c>
      <c r="G28" s="289">
        <v>0</v>
      </c>
      <c r="H28" s="10">
        <f t="shared" si="5"/>
        <v>0</v>
      </c>
    </row>
    <row r="29" spans="1:8">
      <c r="A29" s="468"/>
      <c r="B29" s="273" t="s">
        <v>700</v>
      </c>
      <c r="C29" s="288">
        <v>0.05</v>
      </c>
      <c r="D29" s="10">
        <f t="shared" si="6"/>
        <v>33</v>
      </c>
      <c r="E29" s="274">
        <v>5</v>
      </c>
      <c r="F29" s="10">
        <f t="shared" si="4"/>
        <v>165</v>
      </c>
      <c r="G29" s="289">
        <v>0.01</v>
      </c>
      <c r="H29" s="10">
        <f t="shared" si="5"/>
        <v>163.35</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03" t="s">
        <v>483</v>
      </c>
      <c r="B32" s="313">
        <v>0.1</v>
      </c>
      <c r="C32" s="282">
        <f>B9*B32</f>
        <v>110</v>
      </c>
      <c r="D32" s="10"/>
      <c r="E32" s="274"/>
      <c r="F32" s="10"/>
      <c r="G32" s="289"/>
      <c r="H32" s="10"/>
    </row>
    <row r="33" spans="1:8">
      <c r="A33" s="316" t="s">
        <v>467</v>
      </c>
      <c r="B33" s="273" t="s">
        <v>165</v>
      </c>
      <c r="C33" s="288">
        <v>0.05</v>
      </c>
      <c r="D33" s="10">
        <f>C$32*C33</f>
        <v>5.5</v>
      </c>
      <c r="E33" s="274">
        <v>4</v>
      </c>
      <c r="F33" s="10">
        <f t="shared" si="4"/>
        <v>22</v>
      </c>
      <c r="G33" s="289">
        <v>0.01</v>
      </c>
      <c r="H33" s="10">
        <f t="shared" si="5"/>
        <v>21.78</v>
      </c>
    </row>
    <row r="34" spans="1:8">
      <c r="A34" s="317"/>
      <c r="B34" s="273" t="s">
        <v>715</v>
      </c>
      <c r="C34" s="288">
        <v>0.05</v>
      </c>
      <c r="D34" s="10">
        <f>C$32*C34</f>
        <v>5.5</v>
      </c>
      <c r="E34" s="274">
        <v>3</v>
      </c>
      <c r="F34" s="10">
        <f t="shared" si="4"/>
        <v>16.5</v>
      </c>
      <c r="G34" s="289">
        <v>0.01</v>
      </c>
      <c r="H34" s="10">
        <f t="shared" si="5"/>
        <v>16.335000000000001</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6" t="s">
        <v>403</v>
      </c>
      <c r="B37" s="466"/>
      <c r="C37" s="466"/>
      <c r="D37" s="466"/>
      <c r="E37" s="466"/>
      <c r="F37" s="466"/>
      <c r="G37" s="466"/>
      <c r="H37" s="466"/>
    </row>
    <row r="39" spans="1:8" ht="18.75">
      <c r="A39" s="470" t="s">
        <v>563</v>
      </c>
      <c r="B39" s="471"/>
      <c r="C39" s="471"/>
      <c r="D39" s="471"/>
      <c r="E39" s="471"/>
      <c r="F39" s="471"/>
      <c r="G39" s="471"/>
      <c r="H39" s="472"/>
    </row>
    <row r="40" spans="1:8">
      <c r="A40" s="473"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4"/>
      <c r="B41" s="295" t="s">
        <v>2</v>
      </c>
      <c r="C41" s="295" t="s">
        <v>3</v>
      </c>
      <c r="D41" s="295" t="s">
        <v>4</v>
      </c>
      <c r="E41" s="295" t="s">
        <v>5</v>
      </c>
      <c r="F41" s="295" t="s">
        <v>6</v>
      </c>
      <c r="G41" s="295" t="s">
        <v>167</v>
      </c>
      <c r="H41" s="295" t="s">
        <v>166</v>
      </c>
    </row>
    <row r="42" spans="1:8">
      <c r="A42" s="10" t="str">
        <f t="shared" ref="A42:A50" si="8">B14</f>
        <v>Soybean</v>
      </c>
      <c r="B42" s="10">
        <f t="shared" ref="B42:B50" si="9">H14*$B$40</f>
        <v>1470.1499999999999</v>
      </c>
      <c r="C42" s="10">
        <f t="shared" ref="C42:H51" si="10">(B42/B$40)*C$40</f>
        <v>1715.175</v>
      </c>
      <c r="D42" s="10">
        <f t="shared" si="10"/>
        <v>1960.1999999999998</v>
      </c>
      <c r="E42" s="10">
        <f t="shared" si="10"/>
        <v>2205.2249999999999</v>
      </c>
      <c r="F42" s="10">
        <f t="shared" si="10"/>
        <v>2450.2499999999995</v>
      </c>
      <c r="G42" s="10">
        <f t="shared" si="10"/>
        <v>2695.2749999999996</v>
      </c>
      <c r="H42" s="10">
        <f t="shared" si="10"/>
        <v>2940.2999999999997</v>
      </c>
    </row>
    <row r="43" spans="1:8">
      <c r="A43" s="10" t="str">
        <f t="shared" si="8"/>
        <v>Tur</v>
      </c>
      <c r="B43" s="10">
        <f t="shared" si="9"/>
        <v>156.75</v>
      </c>
      <c r="C43" s="10">
        <f t="shared" si="10"/>
        <v>182.875</v>
      </c>
      <c r="D43" s="10">
        <f t="shared" si="10"/>
        <v>208.99999999999997</v>
      </c>
      <c r="E43" s="10">
        <f t="shared" si="10"/>
        <v>235.12499999999997</v>
      </c>
      <c r="F43" s="10">
        <f t="shared" si="10"/>
        <v>261.24999999999994</v>
      </c>
      <c r="G43" s="10">
        <f t="shared" si="10"/>
        <v>287.37499999999994</v>
      </c>
      <c r="H43" s="10">
        <f t="shared" si="10"/>
        <v>313.5</v>
      </c>
    </row>
    <row r="44" spans="1:8">
      <c r="A44" s="10" t="str">
        <f t="shared" si="8"/>
        <v>Turmeric</v>
      </c>
      <c r="B44" s="10">
        <f t="shared" si="9"/>
        <v>1715.175</v>
      </c>
      <c r="C44" s="10">
        <f t="shared" si="10"/>
        <v>2001.0374999999999</v>
      </c>
      <c r="D44" s="10">
        <f t="shared" si="10"/>
        <v>2286.8999999999996</v>
      </c>
      <c r="E44" s="10">
        <f t="shared" si="10"/>
        <v>2572.7624999999998</v>
      </c>
      <c r="F44" s="10">
        <f t="shared" si="10"/>
        <v>2858.6249999999995</v>
      </c>
      <c r="G44" s="10">
        <f t="shared" si="10"/>
        <v>3144.4874999999997</v>
      </c>
      <c r="H44" s="10">
        <f t="shared" si="10"/>
        <v>3430.35</v>
      </c>
    </row>
    <row r="45" spans="1:8">
      <c r="A45" s="10" t="str">
        <f t="shared" si="8"/>
        <v>Moong</v>
      </c>
      <c r="B45" s="10">
        <f t="shared" si="9"/>
        <v>114.34499999999998</v>
      </c>
      <c r="C45" s="10">
        <f t="shared" si="10"/>
        <v>133.40249999999997</v>
      </c>
      <c r="D45" s="10">
        <f t="shared" si="10"/>
        <v>152.45999999999998</v>
      </c>
      <c r="E45" s="10">
        <f t="shared" si="10"/>
        <v>171.51749999999998</v>
      </c>
      <c r="F45" s="10">
        <f t="shared" si="10"/>
        <v>190.57499999999996</v>
      </c>
      <c r="G45" s="10">
        <f t="shared" si="10"/>
        <v>209.63249999999996</v>
      </c>
      <c r="H45" s="10">
        <f t="shared" si="10"/>
        <v>228.68999999999997</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130.68</v>
      </c>
      <c r="C47" s="10">
        <f t="shared" si="10"/>
        <v>152.46</v>
      </c>
      <c r="D47" s="10">
        <f t="shared" si="10"/>
        <v>174.23999999999998</v>
      </c>
      <c r="E47" s="10">
        <f t="shared" si="10"/>
        <v>196.01999999999995</v>
      </c>
      <c r="F47" s="10">
        <f t="shared" si="10"/>
        <v>217.79999999999995</v>
      </c>
      <c r="G47" s="10">
        <f t="shared" si="10"/>
        <v>239.57999999999996</v>
      </c>
      <c r="H47" s="10">
        <f t="shared" si="10"/>
        <v>261.35999999999996</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160.04999999999998</v>
      </c>
      <c r="C49" s="10">
        <f t="shared" si="10"/>
        <v>186.72499999999999</v>
      </c>
      <c r="D49" s="10">
        <f t="shared" si="10"/>
        <v>213.39999999999998</v>
      </c>
      <c r="E49" s="10">
        <f t="shared" si="10"/>
        <v>240.07499999999999</v>
      </c>
      <c r="F49" s="10">
        <f t="shared" si="10"/>
        <v>266.74999999999994</v>
      </c>
      <c r="G49" s="10">
        <f t="shared" si="10"/>
        <v>293.42499999999995</v>
      </c>
      <c r="H49" s="10">
        <f t="shared" si="10"/>
        <v>320.09999999999997</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423.22499999999997</v>
      </c>
      <c r="C51" s="10">
        <f t="shared" si="10"/>
        <v>493.76249999999999</v>
      </c>
      <c r="D51" s="10">
        <f t="shared" si="10"/>
        <v>564.29999999999995</v>
      </c>
      <c r="E51" s="10">
        <f t="shared" si="10"/>
        <v>634.83749999999998</v>
      </c>
      <c r="F51" s="10">
        <f t="shared" si="10"/>
        <v>705.37499999999989</v>
      </c>
      <c r="G51" s="10">
        <f t="shared" si="10"/>
        <v>775.91249999999991</v>
      </c>
      <c r="H51" s="10">
        <f t="shared" si="10"/>
        <v>846.44999999999993</v>
      </c>
    </row>
    <row r="52" spans="1:8">
      <c r="A52" s="10" t="str">
        <f t="shared" si="11"/>
        <v>Channa</v>
      </c>
      <c r="B52" s="10">
        <f t="shared" si="12"/>
        <v>1316.6999999999996</v>
      </c>
      <c r="C52" s="10">
        <f t="shared" ref="C52:H61" si="13">(B52/B$40)*C$40</f>
        <v>1536.1499999999996</v>
      </c>
      <c r="D52" s="10">
        <f t="shared" si="13"/>
        <v>1755.5999999999995</v>
      </c>
      <c r="E52" s="10">
        <f t="shared" si="13"/>
        <v>1975.0499999999995</v>
      </c>
      <c r="F52" s="10">
        <f t="shared" si="13"/>
        <v>2194.4999999999991</v>
      </c>
      <c r="G52" s="10">
        <f t="shared" si="13"/>
        <v>2413.9499999999994</v>
      </c>
      <c r="H52" s="10">
        <f t="shared" si="13"/>
        <v>2633.3999999999992</v>
      </c>
    </row>
    <row r="53" spans="1:8">
      <c r="A53" s="10" t="str">
        <f t="shared" si="11"/>
        <v>Jawar</v>
      </c>
      <c r="B53" s="10">
        <f t="shared" si="12"/>
        <v>153.648</v>
      </c>
      <c r="C53" s="10">
        <f t="shared" si="13"/>
        <v>179.25599999999997</v>
      </c>
      <c r="D53" s="10">
        <f t="shared" si="13"/>
        <v>204.86399999999998</v>
      </c>
      <c r="E53" s="10">
        <f t="shared" si="13"/>
        <v>230.47199999999995</v>
      </c>
      <c r="F53" s="10">
        <f t="shared" si="13"/>
        <v>256.07999999999993</v>
      </c>
      <c r="G53" s="10">
        <f t="shared" si="13"/>
        <v>281.68799999999987</v>
      </c>
      <c r="H53" s="10">
        <f t="shared" si="13"/>
        <v>307.29599999999988</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49.004999999999995</v>
      </c>
      <c r="C56" s="10">
        <f t="shared" si="13"/>
        <v>57.172499999999992</v>
      </c>
      <c r="D56" s="10">
        <f t="shared" si="13"/>
        <v>65.339999999999989</v>
      </c>
      <c r="E56" s="10">
        <f t="shared" si="13"/>
        <v>73.507499999999993</v>
      </c>
      <c r="F56" s="10">
        <f t="shared" si="13"/>
        <v>81.674999999999983</v>
      </c>
      <c r="G56" s="10">
        <f t="shared" si="13"/>
        <v>89.842499999999987</v>
      </c>
      <c r="H56" s="10">
        <f t="shared" si="13"/>
        <v>98.009999999999991</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6.5339999999999998</v>
      </c>
      <c r="C59" s="10">
        <f t="shared" si="13"/>
        <v>7.6230000000000002</v>
      </c>
      <c r="D59" s="10">
        <f t="shared" si="13"/>
        <v>8.7119999999999997</v>
      </c>
      <c r="E59" s="10">
        <f t="shared" si="13"/>
        <v>9.8010000000000002</v>
      </c>
      <c r="F59" s="10">
        <f t="shared" si="13"/>
        <v>10.889999999999999</v>
      </c>
      <c r="G59" s="10">
        <f t="shared" si="13"/>
        <v>11.978999999999999</v>
      </c>
      <c r="H59" s="10">
        <f t="shared" si="13"/>
        <v>13.068</v>
      </c>
    </row>
    <row r="60" spans="1:8">
      <c r="A60" s="10" t="str">
        <f>B34</f>
        <v>Paddy</v>
      </c>
      <c r="B60" s="10">
        <f>H34*$B$40</f>
        <v>4.9005000000000001</v>
      </c>
      <c r="C60" s="10">
        <f t="shared" si="13"/>
        <v>5.7172499999999999</v>
      </c>
      <c r="D60" s="10">
        <f t="shared" si="13"/>
        <v>6.5339999999999998</v>
      </c>
      <c r="E60" s="10">
        <f t="shared" si="13"/>
        <v>7.3507499999999997</v>
      </c>
      <c r="F60" s="10">
        <f t="shared" si="13"/>
        <v>8.1674999999999986</v>
      </c>
      <c r="G60" s="10">
        <f t="shared" si="13"/>
        <v>8.9842499999999994</v>
      </c>
      <c r="H60" s="10">
        <f t="shared" si="13"/>
        <v>9.8010000000000002</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5" t="s">
        <v>564</v>
      </c>
      <c r="B64" s="476"/>
      <c r="C64" s="476"/>
      <c r="D64" s="476"/>
      <c r="E64" s="476"/>
      <c r="F64" s="476"/>
      <c r="G64" s="476"/>
      <c r="H64" s="477"/>
    </row>
    <row r="65" spans="1:8">
      <c r="A65" s="478"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79"/>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52.25</v>
      </c>
      <c r="C68" s="10">
        <f>(B68/B$65)*C$65</f>
        <v>78.375000000000014</v>
      </c>
      <c r="D68" s="10">
        <f t="shared" si="17"/>
        <v>104.5</v>
      </c>
      <c r="E68" s="10">
        <f t="shared" si="17"/>
        <v>130.625</v>
      </c>
      <c r="F68" s="10">
        <f t="shared" si="17"/>
        <v>156.75</v>
      </c>
      <c r="G68" s="10">
        <f t="shared" si="17"/>
        <v>182.875</v>
      </c>
      <c r="H68" s="10">
        <f t="shared" si="17"/>
        <v>208.99999999999997</v>
      </c>
    </row>
    <row r="69" spans="1:8">
      <c r="A69" s="10" t="str">
        <f t="shared" si="16"/>
        <v>Turmeric</v>
      </c>
      <c r="B69" s="10">
        <f t="shared" si="18"/>
        <v>571.72500000000002</v>
      </c>
      <c r="C69" s="10">
        <f t="shared" ref="C69:H69" si="19">(B69/B$65)*C$65</f>
        <v>857.58750000000009</v>
      </c>
      <c r="D69" s="10">
        <f t="shared" si="19"/>
        <v>1143.45</v>
      </c>
      <c r="E69" s="10">
        <f t="shared" si="19"/>
        <v>1429.3125</v>
      </c>
      <c r="F69" s="10">
        <f t="shared" si="19"/>
        <v>1715.175</v>
      </c>
      <c r="G69" s="10">
        <f t="shared" si="19"/>
        <v>2001.0374999999999</v>
      </c>
      <c r="H69" s="10">
        <f t="shared" si="19"/>
        <v>2286.8999999999996</v>
      </c>
    </row>
    <row r="70" spans="1:8">
      <c r="A70" s="10" t="str">
        <f t="shared" si="16"/>
        <v>Moong</v>
      </c>
      <c r="B70" s="10">
        <f t="shared" si="18"/>
        <v>38.115000000000002</v>
      </c>
      <c r="C70" s="10">
        <f t="shared" ref="C70:H70" si="20">(B70/B$65)*C$65</f>
        <v>57.172500000000007</v>
      </c>
      <c r="D70" s="10">
        <f t="shared" si="20"/>
        <v>76.23</v>
      </c>
      <c r="E70" s="10">
        <f t="shared" si="20"/>
        <v>95.287499999999994</v>
      </c>
      <c r="F70" s="10">
        <f t="shared" si="20"/>
        <v>114.34499999999998</v>
      </c>
      <c r="G70" s="10">
        <f t="shared" si="20"/>
        <v>133.40249999999997</v>
      </c>
      <c r="H70" s="10">
        <f t="shared" si="20"/>
        <v>152.45999999999998</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43.56</v>
      </c>
      <c r="C72" s="10">
        <f t="shared" ref="C72:H72" si="22">(B72/B$65)*C$65</f>
        <v>65.340000000000018</v>
      </c>
      <c r="D72" s="10">
        <f t="shared" si="22"/>
        <v>87.120000000000019</v>
      </c>
      <c r="E72" s="10">
        <f t="shared" si="22"/>
        <v>108.90000000000002</v>
      </c>
      <c r="F72" s="10">
        <f t="shared" si="22"/>
        <v>130.68</v>
      </c>
      <c r="G72" s="10">
        <f t="shared" si="22"/>
        <v>152.46</v>
      </c>
      <c r="H72" s="10">
        <f t="shared" si="22"/>
        <v>174.23999999999998</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53.35</v>
      </c>
      <c r="C74" s="10">
        <f t="shared" ref="C74:H74" si="24">(B74/B$65)*C$65</f>
        <v>80.025000000000006</v>
      </c>
      <c r="D74" s="10">
        <f t="shared" si="24"/>
        <v>106.7</v>
      </c>
      <c r="E74" s="10">
        <f t="shared" si="24"/>
        <v>133.375</v>
      </c>
      <c r="F74" s="10">
        <f t="shared" si="24"/>
        <v>160.04999999999998</v>
      </c>
      <c r="G74" s="10">
        <f t="shared" si="24"/>
        <v>186.72499999999999</v>
      </c>
      <c r="H74" s="10">
        <f t="shared" si="24"/>
        <v>213.39999999999998</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141.07500000000002</v>
      </c>
      <c r="C76" s="10">
        <f t="shared" ref="C76:H76" si="27">(B76/B$65)*C$65</f>
        <v>211.61250000000004</v>
      </c>
      <c r="D76" s="10">
        <f t="shared" si="27"/>
        <v>282.15000000000003</v>
      </c>
      <c r="E76" s="10">
        <f t="shared" si="27"/>
        <v>352.6875</v>
      </c>
      <c r="F76" s="10">
        <f t="shared" si="27"/>
        <v>423.22499999999997</v>
      </c>
      <c r="G76" s="10">
        <f t="shared" si="27"/>
        <v>493.76249999999999</v>
      </c>
      <c r="H76" s="10">
        <f t="shared" si="27"/>
        <v>564.29999999999995</v>
      </c>
    </row>
    <row r="77" spans="1:8">
      <c r="A77" s="10" t="str">
        <f t="shared" si="16"/>
        <v>Channa</v>
      </c>
      <c r="B77" s="10">
        <f t="shared" si="26"/>
        <v>438.89999999999992</v>
      </c>
      <c r="C77" s="10">
        <f t="shared" ref="C77:H77" si="28">(B77/B$65)*C$65</f>
        <v>658.34999999999991</v>
      </c>
      <c r="D77" s="10">
        <f t="shared" si="28"/>
        <v>877.79999999999984</v>
      </c>
      <c r="E77" s="10">
        <f t="shared" si="28"/>
        <v>1097.2499999999998</v>
      </c>
      <c r="F77" s="10">
        <f t="shared" si="28"/>
        <v>1316.6999999999996</v>
      </c>
      <c r="G77" s="10">
        <f t="shared" si="28"/>
        <v>1536.1499999999996</v>
      </c>
      <c r="H77" s="10">
        <f t="shared" si="28"/>
        <v>1755.5999999999995</v>
      </c>
    </row>
    <row r="78" spans="1:8">
      <c r="A78" s="10" t="str">
        <f t="shared" si="16"/>
        <v>Jawar</v>
      </c>
      <c r="B78" s="10">
        <f t="shared" si="26"/>
        <v>51.216000000000001</v>
      </c>
      <c r="C78" s="10">
        <f t="shared" ref="C78:H78" si="29">(B78/B$65)*C$65</f>
        <v>76.824000000000012</v>
      </c>
      <c r="D78" s="10">
        <f t="shared" si="29"/>
        <v>102.432</v>
      </c>
      <c r="E78" s="10">
        <f t="shared" si="29"/>
        <v>128.04</v>
      </c>
      <c r="F78" s="10">
        <f t="shared" si="29"/>
        <v>153.648</v>
      </c>
      <c r="G78" s="10">
        <f t="shared" si="29"/>
        <v>179.25599999999997</v>
      </c>
      <c r="H78" s="10">
        <f t="shared" si="29"/>
        <v>204.86399999999998</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16.335000000000001</v>
      </c>
      <c r="C81" s="10">
        <f t="shared" ref="C81:H81" si="32">(B81/B$65)*C$65</f>
        <v>24.502500000000001</v>
      </c>
      <c r="D81" s="10">
        <f t="shared" si="32"/>
        <v>32.67</v>
      </c>
      <c r="E81" s="10">
        <f t="shared" si="32"/>
        <v>40.837499999999999</v>
      </c>
      <c r="F81" s="10">
        <f t="shared" si="32"/>
        <v>49.004999999999995</v>
      </c>
      <c r="G81" s="10">
        <f t="shared" si="32"/>
        <v>57.172499999999992</v>
      </c>
      <c r="H81" s="10">
        <f t="shared" si="32"/>
        <v>65.339999999999989</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2.1780000000000004</v>
      </c>
      <c r="C84" s="10">
        <f t="shared" ref="C84:H84" si="35">(B84/B$65)*C$65</f>
        <v>3.2670000000000008</v>
      </c>
      <c r="D84" s="10">
        <f t="shared" si="35"/>
        <v>4.3560000000000008</v>
      </c>
      <c r="E84" s="10">
        <f t="shared" si="35"/>
        <v>5.4450000000000003</v>
      </c>
      <c r="F84" s="10">
        <f t="shared" si="35"/>
        <v>6.5339999999999998</v>
      </c>
      <c r="G84" s="10">
        <f t="shared" si="35"/>
        <v>7.6230000000000002</v>
      </c>
      <c r="H84" s="10">
        <f t="shared" si="35"/>
        <v>8.7119999999999997</v>
      </c>
    </row>
    <row r="85" spans="1:9">
      <c r="A85" s="10" t="str">
        <f t="shared" si="16"/>
        <v>Paddy</v>
      </c>
      <c r="B85" s="10">
        <f>H34*$B$65</f>
        <v>1.6335000000000002</v>
      </c>
      <c r="C85" s="10">
        <f t="shared" ref="C85:H85" si="36">(B85/B$65)*C$65</f>
        <v>2.4502500000000005</v>
      </c>
      <c r="D85" s="10">
        <f t="shared" si="36"/>
        <v>3.2670000000000003</v>
      </c>
      <c r="E85" s="10">
        <f t="shared" si="36"/>
        <v>4.0837500000000002</v>
      </c>
      <c r="F85" s="10">
        <f t="shared" si="36"/>
        <v>4.9005000000000001</v>
      </c>
      <c r="G85" s="10">
        <f t="shared" si="36"/>
        <v>5.7172499999999999</v>
      </c>
      <c r="H85" s="10">
        <f t="shared" si="36"/>
        <v>6.5339999999999998</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0" t="s">
        <v>565</v>
      </c>
      <c r="B89" s="481"/>
      <c r="C89" s="481"/>
      <c r="D89" s="481"/>
      <c r="E89" s="481"/>
      <c r="F89" s="481"/>
      <c r="G89" s="481"/>
      <c r="H89" s="482"/>
    </row>
    <row r="90" spans="1:9">
      <c r="A90" s="464"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5"/>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321.75</v>
      </c>
      <c r="C92" s="292">
        <f t="shared" ref="C92:H92" si="42">(B92/B$90)*C$90</f>
        <v>346.50000000000006</v>
      </c>
      <c r="D92" s="292">
        <f t="shared" si="42"/>
        <v>371.25000000000011</v>
      </c>
      <c r="E92" s="292">
        <f t="shared" si="42"/>
        <v>396.00000000000011</v>
      </c>
      <c r="F92" s="292">
        <f t="shared" si="42"/>
        <v>420.75000000000017</v>
      </c>
      <c r="G92" s="292">
        <f t="shared" si="42"/>
        <v>445.50000000000017</v>
      </c>
      <c r="H92" s="292">
        <f t="shared" si="42"/>
        <v>470.25000000000017</v>
      </c>
    </row>
    <row r="93" spans="1:9">
      <c r="A93" s="10" t="str">
        <f t="shared" si="40"/>
        <v>Tur</v>
      </c>
      <c r="B93" s="10">
        <f t="shared" si="41"/>
        <v>35.75</v>
      </c>
      <c r="C93" s="292">
        <f t="shared" ref="C93:C113" si="43">(B93/B$90)*C$90</f>
        <v>38.500000000000007</v>
      </c>
      <c r="D93" s="292">
        <f>(C93/C90)*D90</f>
        <v>41.250000000000014</v>
      </c>
      <c r="E93" s="292">
        <f t="shared" ref="E93:G93" si="44">(D93/D90)*E90</f>
        <v>44.000000000000021</v>
      </c>
      <c r="F93" s="292">
        <f t="shared" si="44"/>
        <v>46.750000000000021</v>
      </c>
      <c r="G93" s="292">
        <f t="shared" si="44"/>
        <v>49.500000000000028</v>
      </c>
      <c r="H93" s="292">
        <f>(G93/G90)*H90</f>
        <v>52.250000000000028</v>
      </c>
    </row>
    <row r="94" spans="1:9">
      <c r="A94" s="10" t="str">
        <f t="shared" si="40"/>
        <v>Turmeric</v>
      </c>
      <c r="B94" s="10">
        <f t="shared" si="41"/>
        <v>250.25</v>
      </c>
      <c r="C94" s="292">
        <f t="shared" si="43"/>
        <v>269.5</v>
      </c>
      <c r="D94" s="292">
        <f t="shared" ref="D94:H103" si="45">(C94/C$90)*D$90</f>
        <v>288.75</v>
      </c>
      <c r="E94" s="292">
        <f t="shared" si="45"/>
        <v>308</v>
      </c>
      <c r="F94" s="292">
        <f t="shared" si="45"/>
        <v>327.25000000000006</v>
      </c>
      <c r="G94" s="292">
        <f t="shared" si="45"/>
        <v>346.50000000000011</v>
      </c>
      <c r="H94" s="292">
        <f t="shared" si="45"/>
        <v>365.75000000000011</v>
      </c>
    </row>
    <row r="95" spans="1:9">
      <c r="A95" s="10" t="str">
        <f t="shared" si="40"/>
        <v>Moong</v>
      </c>
      <c r="B95" s="10">
        <f t="shared" si="41"/>
        <v>35.75</v>
      </c>
      <c r="C95" s="292">
        <f t="shared" si="43"/>
        <v>38.500000000000007</v>
      </c>
      <c r="D95" s="292">
        <f t="shared" si="45"/>
        <v>41.250000000000014</v>
      </c>
      <c r="E95" s="292">
        <f t="shared" si="45"/>
        <v>44.000000000000021</v>
      </c>
      <c r="F95" s="292">
        <f t="shared" si="45"/>
        <v>46.750000000000021</v>
      </c>
      <c r="G95" s="292">
        <f t="shared" si="45"/>
        <v>49.500000000000028</v>
      </c>
      <c r="H95" s="292">
        <f t="shared" si="45"/>
        <v>52.250000000000028</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35.75</v>
      </c>
      <c r="C97" s="292">
        <f t="shared" si="43"/>
        <v>38.500000000000007</v>
      </c>
      <c r="D97" s="292">
        <f t="shared" si="45"/>
        <v>41.250000000000014</v>
      </c>
      <c r="E97" s="292">
        <f t="shared" si="45"/>
        <v>44.000000000000021</v>
      </c>
      <c r="F97" s="292">
        <f t="shared" si="45"/>
        <v>46.750000000000021</v>
      </c>
      <c r="G97" s="292">
        <f t="shared" si="45"/>
        <v>49.500000000000028</v>
      </c>
      <c r="H97" s="292">
        <f t="shared" si="45"/>
        <v>52.250000000000028</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35.75</v>
      </c>
      <c r="C99" s="292">
        <f t="shared" si="43"/>
        <v>38.500000000000007</v>
      </c>
      <c r="D99" s="292">
        <f t="shared" si="45"/>
        <v>41.250000000000014</v>
      </c>
      <c r="E99" s="292">
        <f t="shared" si="45"/>
        <v>44.000000000000021</v>
      </c>
      <c r="F99" s="292">
        <f t="shared" si="45"/>
        <v>46.750000000000021</v>
      </c>
      <c r="G99" s="292">
        <f t="shared" si="45"/>
        <v>49.500000000000028</v>
      </c>
      <c r="H99" s="292">
        <f t="shared" si="45"/>
        <v>52.250000000000028</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64.350000000000009</v>
      </c>
      <c r="C101" s="292">
        <f t="shared" si="43"/>
        <v>69.300000000000011</v>
      </c>
      <c r="D101" s="292">
        <f t="shared" si="45"/>
        <v>74.250000000000014</v>
      </c>
      <c r="E101" s="292">
        <f t="shared" si="45"/>
        <v>79.200000000000017</v>
      </c>
      <c r="F101" s="292">
        <f t="shared" si="45"/>
        <v>84.15000000000002</v>
      </c>
      <c r="G101" s="292">
        <f t="shared" si="45"/>
        <v>89.100000000000023</v>
      </c>
      <c r="H101" s="292">
        <f t="shared" si="45"/>
        <v>94.050000000000026</v>
      </c>
    </row>
    <row r="102" spans="1:8">
      <c r="A102" s="10" t="str">
        <f t="shared" si="40"/>
        <v>Channa</v>
      </c>
      <c r="B102" s="10">
        <f t="shared" si="46"/>
        <v>300.29999999999995</v>
      </c>
      <c r="C102" s="292">
        <f t="shared" si="43"/>
        <v>323.39999999999998</v>
      </c>
      <c r="D102" s="292">
        <f t="shared" si="45"/>
        <v>346.5</v>
      </c>
      <c r="E102" s="292">
        <f t="shared" si="45"/>
        <v>369.6</v>
      </c>
      <c r="F102" s="292">
        <f t="shared" si="45"/>
        <v>392.70000000000005</v>
      </c>
      <c r="G102" s="292">
        <f t="shared" si="45"/>
        <v>415.80000000000007</v>
      </c>
      <c r="H102" s="292">
        <f t="shared" si="45"/>
        <v>438.90000000000009</v>
      </c>
    </row>
    <row r="103" spans="1:8">
      <c r="A103" s="10" t="str">
        <f t="shared" si="40"/>
        <v>Jawar</v>
      </c>
      <c r="B103" s="10">
        <f t="shared" si="46"/>
        <v>42.9</v>
      </c>
      <c r="C103" s="292">
        <f t="shared" si="43"/>
        <v>46.2</v>
      </c>
      <c r="D103" s="292">
        <f t="shared" si="45"/>
        <v>49.500000000000007</v>
      </c>
      <c r="E103" s="292">
        <f t="shared" si="45"/>
        <v>52.800000000000011</v>
      </c>
      <c r="F103" s="292">
        <f t="shared" si="45"/>
        <v>56.100000000000016</v>
      </c>
      <c r="G103" s="292">
        <f t="shared" si="45"/>
        <v>59.400000000000013</v>
      </c>
      <c r="H103" s="292">
        <f t="shared" si="45"/>
        <v>62.700000000000017</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21.45</v>
      </c>
      <c r="C106" s="292">
        <f t="shared" si="43"/>
        <v>23.1</v>
      </c>
      <c r="D106" s="292">
        <f t="shared" si="47"/>
        <v>24.750000000000004</v>
      </c>
      <c r="E106" s="292">
        <f t="shared" si="47"/>
        <v>26.400000000000006</v>
      </c>
      <c r="F106" s="292">
        <f t="shared" si="47"/>
        <v>28.050000000000008</v>
      </c>
      <c r="G106" s="292">
        <f t="shared" si="47"/>
        <v>29.700000000000006</v>
      </c>
      <c r="H106" s="292">
        <f t="shared" si="47"/>
        <v>31.350000000000009</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3.5750000000000002</v>
      </c>
      <c r="C109" s="292">
        <f t="shared" si="43"/>
        <v>3.8500000000000005</v>
      </c>
      <c r="D109" s="292">
        <f t="shared" si="47"/>
        <v>4.1250000000000009</v>
      </c>
      <c r="E109" s="292">
        <f t="shared" si="47"/>
        <v>4.4000000000000012</v>
      </c>
      <c r="F109" s="292">
        <f t="shared" si="47"/>
        <v>4.6750000000000016</v>
      </c>
      <c r="G109" s="292">
        <f t="shared" si="47"/>
        <v>4.950000000000002</v>
      </c>
      <c r="H109" s="292">
        <f t="shared" si="47"/>
        <v>5.2250000000000023</v>
      </c>
    </row>
    <row r="110" spans="1:8">
      <c r="A110" s="10" t="str">
        <f t="shared" si="40"/>
        <v>Paddy</v>
      </c>
      <c r="B110" s="10">
        <f>D34*$B$90</f>
        <v>3.5750000000000002</v>
      </c>
      <c r="C110" s="292">
        <f t="shared" si="43"/>
        <v>3.8500000000000005</v>
      </c>
      <c r="D110" s="292">
        <f t="shared" si="47"/>
        <v>4.1250000000000009</v>
      </c>
      <c r="E110" s="292">
        <f t="shared" si="47"/>
        <v>4.4000000000000012</v>
      </c>
      <c r="F110" s="292">
        <f t="shared" si="47"/>
        <v>4.6750000000000016</v>
      </c>
      <c r="G110" s="292">
        <f t="shared" si="47"/>
        <v>4.950000000000002</v>
      </c>
      <c r="H110" s="292">
        <f t="shared" si="47"/>
        <v>5.2250000000000023</v>
      </c>
    </row>
    <row r="111" spans="1:8">
      <c r="A111" s="10">
        <f t="shared" si="40"/>
        <v>0</v>
      </c>
      <c r="B111" s="10">
        <f>D34*$B$90</f>
        <v>3.5750000000000002</v>
      </c>
      <c r="C111" s="292">
        <f t="shared" si="43"/>
        <v>3.8500000000000005</v>
      </c>
      <c r="D111" s="292">
        <f t="shared" si="47"/>
        <v>4.1250000000000009</v>
      </c>
      <c r="E111" s="292">
        <f t="shared" si="47"/>
        <v>4.4000000000000012</v>
      </c>
      <c r="F111" s="292">
        <f t="shared" si="47"/>
        <v>4.6750000000000016</v>
      </c>
      <c r="G111" s="292">
        <f t="shared" si="47"/>
        <v>4.950000000000002</v>
      </c>
      <c r="H111" s="292">
        <f t="shared" si="47"/>
        <v>5.2250000000000023</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543</v>
      </c>
      <c r="C116" s="293"/>
      <c r="D116" s="293"/>
      <c r="E116" s="293"/>
      <c r="F116" s="293"/>
      <c r="G116" s="293"/>
      <c r="H116" s="293"/>
      <c r="I116" s="293"/>
    </row>
    <row r="117" spans="1:9">
      <c r="A117">
        <v>1</v>
      </c>
      <c r="B117" t="s">
        <v>586</v>
      </c>
    </row>
    <row r="118" spans="1:9">
      <c r="A118">
        <v>2</v>
      </c>
      <c r="B118" t="s">
        <v>587</v>
      </c>
    </row>
    <row r="119" spans="1:9">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2" t="s">
        <v>502</v>
      </c>
      <c r="B1" s="412"/>
      <c r="C1" s="412"/>
      <c r="D1" s="412"/>
      <c r="E1" s="412"/>
      <c r="F1" s="412"/>
      <c r="G1" s="412"/>
      <c r="H1" s="412"/>
    </row>
    <row r="2" spans="1:26">
      <c r="B2" s="4"/>
    </row>
    <row r="3" spans="1:26" ht="18.75">
      <c r="A3" s="463" t="s">
        <v>566</v>
      </c>
      <c r="B3" s="463"/>
    </row>
    <row r="4" spans="1:26">
      <c r="A4" s="277" t="s">
        <v>0</v>
      </c>
      <c r="B4" s="295" t="s">
        <v>390</v>
      </c>
      <c r="C4" s="296"/>
      <c r="D4" s="296"/>
      <c r="E4" s="296"/>
      <c r="F4" s="296"/>
      <c r="G4" s="296"/>
      <c r="H4" s="296"/>
    </row>
    <row r="5" spans="1:26">
      <c r="A5" s="10" t="s">
        <v>495</v>
      </c>
      <c r="B5" s="273">
        <v>0</v>
      </c>
      <c r="C5" s="297"/>
      <c r="D5" s="298"/>
      <c r="E5" s="298"/>
      <c r="F5" s="298"/>
      <c r="G5" s="298"/>
      <c r="H5" s="298"/>
    </row>
    <row r="6" spans="1:26">
      <c r="A6" s="10" t="s">
        <v>496</v>
      </c>
      <c r="B6" s="273">
        <v>0</v>
      </c>
      <c r="C6" s="297"/>
      <c r="D6" s="298"/>
      <c r="E6" s="298"/>
      <c r="F6" s="298"/>
      <c r="G6" s="298"/>
      <c r="H6" s="298"/>
    </row>
    <row r="7" spans="1:26">
      <c r="A7" s="2" t="s">
        <v>1</v>
      </c>
      <c r="B7" s="321">
        <f>B5+B6</f>
        <v>0</v>
      </c>
      <c r="C7" s="299"/>
      <c r="D7" s="300"/>
      <c r="E7" s="300"/>
      <c r="F7" s="300"/>
      <c r="G7" s="300"/>
      <c r="H7" s="300"/>
    </row>
    <row r="8" spans="1:26">
      <c r="A8" s="2" t="s">
        <v>497</v>
      </c>
      <c r="B8" s="320">
        <v>0</v>
      </c>
      <c r="C8" s="299"/>
      <c r="D8" s="299"/>
      <c r="E8" s="299"/>
      <c r="F8" s="299"/>
      <c r="G8" s="299"/>
      <c r="H8" s="299"/>
    </row>
    <row r="9" spans="1:26">
      <c r="A9" s="2" t="s">
        <v>498</v>
      </c>
      <c r="B9" s="321">
        <f>B7*B8</f>
        <v>0</v>
      </c>
      <c r="C9" s="300"/>
      <c r="D9" s="300"/>
      <c r="E9" s="300"/>
      <c r="F9" s="300"/>
      <c r="G9" s="300"/>
      <c r="H9" s="300"/>
    </row>
    <row r="10" spans="1:26">
      <c r="J10" t="s">
        <v>460</v>
      </c>
      <c r="O10" t="s">
        <v>456</v>
      </c>
      <c r="U10" t="s">
        <v>457</v>
      </c>
      <c r="Y10" t="s">
        <v>458</v>
      </c>
      <c r="Z10" t="s">
        <v>459</v>
      </c>
    </row>
    <row r="11" spans="1:26" ht="18.75">
      <c r="A11" s="412" t="s">
        <v>567</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485</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68"/>
      <c r="B15" s="273" t="s">
        <v>486</v>
      </c>
      <c r="C15" s="288">
        <v>0.25</v>
      </c>
      <c r="D15" s="10">
        <f t="shared" si="3"/>
        <v>0</v>
      </c>
      <c r="E15" s="274">
        <v>26</v>
      </c>
      <c r="F15" s="10">
        <f t="shared" ref="F15:F40" si="4">D15*E15</f>
        <v>0</v>
      </c>
      <c r="G15" s="289">
        <v>0.05</v>
      </c>
      <c r="H15" s="10">
        <f>(F15-F15*G15)</f>
        <v>0</v>
      </c>
    </row>
    <row r="16" spans="1:26">
      <c r="A16" s="468"/>
      <c r="B16" s="273" t="s">
        <v>487</v>
      </c>
      <c r="C16" s="288">
        <v>0</v>
      </c>
      <c r="D16" s="10">
        <f t="shared" si="3"/>
        <v>0</v>
      </c>
      <c r="E16" s="274">
        <v>0</v>
      </c>
      <c r="F16" s="10">
        <f t="shared" si="4"/>
        <v>0</v>
      </c>
      <c r="G16" s="289">
        <v>0</v>
      </c>
      <c r="H16" s="10">
        <f t="shared" ref="H16:H40" si="5">(F16-F16*G16)</f>
        <v>0</v>
      </c>
    </row>
    <row r="17" spans="1:8">
      <c r="A17" s="468"/>
      <c r="B17" s="273" t="s">
        <v>488</v>
      </c>
      <c r="C17" s="288">
        <v>0.25</v>
      </c>
      <c r="D17" s="10">
        <f t="shared" si="3"/>
        <v>0</v>
      </c>
      <c r="E17" s="274">
        <v>7.5</v>
      </c>
      <c r="F17" s="10">
        <f t="shared" si="4"/>
        <v>0</v>
      </c>
      <c r="G17" s="289">
        <v>0.02</v>
      </c>
      <c r="H17" s="10">
        <f t="shared" si="5"/>
        <v>0</v>
      </c>
    </row>
    <row r="18" spans="1:8">
      <c r="A18" s="468"/>
      <c r="B18" s="273" t="s">
        <v>490</v>
      </c>
      <c r="C18" s="288">
        <v>0.25</v>
      </c>
      <c r="D18" s="10">
        <f t="shared" si="3"/>
        <v>0</v>
      </c>
      <c r="E18" s="274">
        <v>2</v>
      </c>
      <c r="F18" s="10">
        <f t="shared" si="4"/>
        <v>0</v>
      </c>
      <c r="G18" s="289">
        <v>0</v>
      </c>
      <c r="H18" s="10">
        <f t="shared" si="5"/>
        <v>0</v>
      </c>
    </row>
    <row r="19" spans="1:8">
      <c r="A19" s="468"/>
      <c r="B19" s="273"/>
      <c r="C19" s="288">
        <v>0</v>
      </c>
      <c r="D19" s="10">
        <f t="shared" si="3"/>
        <v>0</v>
      </c>
      <c r="E19" s="274">
        <v>0</v>
      </c>
      <c r="F19" s="10">
        <f t="shared" si="4"/>
        <v>0</v>
      </c>
      <c r="G19" s="289">
        <v>0.1</v>
      </c>
      <c r="H19" s="10">
        <f t="shared" si="5"/>
        <v>0</v>
      </c>
    </row>
    <row r="20" spans="1:8">
      <c r="A20" s="468"/>
      <c r="B20" s="273"/>
      <c r="C20" s="288">
        <v>0</v>
      </c>
      <c r="D20" s="10">
        <f t="shared" si="3"/>
        <v>0</v>
      </c>
      <c r="E20" s="274">
        <v>0</v>
      </c>
      <c r="F20" s="10">
        <f t="shared" si="4"/>
        <v>0</v>
      </c>
      <c r="G20" s="289">
        <v>0.02</v>
      </c>
      <c r="H20" s="10">
        <f t="shared" si="5"/>
        <v>0</v>
      </c>
    </row>
    <row r="21" spans="1:8">
      <c r="A21" s="468"/>
      <c r="B21" s="273"/>
      <c r="C21" s="288">
        <v>0</v>
      </c>
      <c r="D21" s="10">
        <f t="shared" si="3"/>
        <v>0</v>
      </c>
      <c r="E21" s="274"/>
      <c r="F21" s="10">
        <f t="shared" si="4"/>
        <v>0</v>
      </c>
      <c r="G21" s="289">
        <v>0</v>
      </c>
      <c r="H21" s="10">
        <f t="shared" si="5"/>
        <v>0</v>
      </c>
    </row>
    <row r="22" spans="1:8">
      <c r="A22" s="469"/>
      <c r="B22" s="273"/>
      <c r="C22" s="288">
        <v>0</v>
      </c>
      <c r="D22" s="10">
        <f t="shared" si="3"/>
        <v>0</v>
      </c>
      <c r="E22" s="274"/>
      <c r="F22" s="10">
        <f t="shared" si="4"/>
        <v>0</v>
      </c>
      <c r="G22" s="289">
        <v>0</v>
      </c>
      <c r="H22" s="10">
        <f t="shared" si="5"/>
        <v>0</v>
      </c>
    </row>
    <row r="23" spans="1:8">
      <c r="A23" s="319" t="s">
        <v>503</v>
      </c>
      <c r="B23" s="313"/>
      <c r="C23" s="314">
        <f>B9*B23</f>
        <v>0</v>
      </c>
      <c r="D23" s="10"/>
      <c r="E23" s="274"/>
      <c r="F23" s="10"/>
      <c r="G23" s="289"/>
      <c r="H23" s="10"/>
    </row>
    <row r="24" spans="1:8">
      <c r="A24" s="467" t="s">
        <v>400</v>
      </c>
      <c r="B24" s="273" t="s">
        <v>485</v>
      </c>
      <c r="C24" s="288">
        <v>0</v>
      </c>
      <c r="D24" s="10">
        <f>C$23*C24</f>
        <v>0</v>
      </c>
      <c r="E24" s="274">
        <v>1</v>
      </c>
      <c r="F24" s="10">
        <f t="shared" si="4"/>
        <v>0</v>
      </c>
      <c r="G24" s="289">
        <v>0.1</v>
      </c>
      <c r="H24" s="10">
        <f t="shared" si="5"/>
        <v>0</v>
      </c>
    </row>
    <row r="25" spans="1:8">
      <c r="A25" s="468"/>
      <c r="B25" s="273" t="s">
        <v>486</v>
      </c>
      <c r="C25" s="288">
        <v>0</v>
      </c>
      <c r="D25" s="10">
        <f>C$23*C25</f>
        <v>0</v>
      </c>
      <c r="E25" s="274">
        <v>1</v>
      </c>
      <c r="F25" s="10">
        <f t="shared" si="4"/>
        <v>0</v>
      </c>
      <c r="G25" s="289">
        <v>0.1</v>
      </c>
      <c r="H25" s="10">
        <f t="shared" si="5"/>
        <v>0</v>
      </c>
    </row>
    <row r="26" spans="1:8">
      <c r="A26" s="468"/>
      <c r="B26" s="273" t="s">
        <v>487</v>
      </c>
      <c r="C26" s="288">
        <v>0</v>
      </c>
      <c r="D26" s="10">
        <f>C$23*C26</f>
        <v>0</v>
      </c>
      <c r="E26" s="274">
        <v>1</v>
      </c>
      <c r="F26" s="10">
        <f t="shared" si="4"/>
        <v>0</v>
      </c>
      <c r="G26" s="289">
        <v>0.05</v>
      </c>
      <c r="H26" s="10">
        <f t="shared" si="5"/>
        <v>0</v>
      </c>
    </row>
    <row r="27" spans="1:8">
      <c r="A27" s="468"/>
      <c r="B27" s="273" t="s">
        <v>488</v>
      </c>
      <c r="C27" s="288">
        <v>0</v>
      </c>
      <c r="D27" s="10">
        <f t="shared" ref="D27:D31" si="6">C$23*C27</f>
        <v>0</v>
      </c>
      <c r="E27" s="274">
        <v>2</v>
      </c>
      <c r="F27" s="10">
        <f t="shared" si="4"/>
        <v>0</v>
      </c>
      <c r="G27" s="289">
        <v>0</v>
      </c>
      <c r="H27" s="10">
        <f t="shared" si="5"/>
        <v>0</v>
      </c>
    </row>
    <row r="28" spans="1:8">
      <c r="A28" s="468"/>
      <c r="B28" s="273" t="s">
        <v>489</v>
      </c>
      <c r="C28" s="288">
        <v>0</v>
      </c>
      <c r="D28" s="10">
        <f t="shared" si="6"/>
        <v>0</v>
      </c>
      <c r="E28" s="274"/>
      <c r="F28" s="10">
        <f t="shared" si="4"/>
        <v>0</v>
      </c>
      <c r="G28" s="289">
        <v>0</v>
      </c>
      <c r="H28" s="10">
        <f t="shared" si="5"/>
        <v>0</v>
      </c>
    </row>
    <row r="29" spans="1:8">
      <c r="A29" s="468"/>
      <c r="B29" s="273"/>
      <c r="C29" s="288">
        <v>0</v>
      </c>
      <c r="D29" s="10">
        <f t="shared" si="6"/>
        <v>0</v>
      </c>
      <c r="E29" s="274"/>
      <c r="F29" s="10">
        <f t="shared" si="4"/>
        <v>0</v>
      </c>
      <c r="G29" s="289">
        <v>0</v>
      </c>
      <c r="H29" s="10">
        <f t="shared" si="5"/>
        <v>0</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19" t="s">
        <v>504</v>
      </c>
      <c r="B32" s="313"/>
      <c r="C32" s="273">
        <f>B9*B32</f>
        <v>0</v>
      </c>
      <c r="D32" s="10"/>
      <c r="E32" s="274"/>
      <c r="F32" s="10"/>
      <c r="G32" s="289"/>
      <c r="H32" s="10"/>
    </row>
    <row r="33" spans="1:8">
      <c r="A33" s="316" t="s">
        <v>467</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3" t="s">
        <v>505</v>
      </c>
      <c r="B37" s="273" t="s">
        <v>491</v>
      </c>
      <c r="C37" s="288">
        <v>0</v>
      </c>
      <c r="D37" s="10">
        <f t="shared" si="3"/>
        <v>0</v>
      </c>
      <c r="E37" s="274">
        <v>6</v>
      </c>
      <c r="F37" s="10">
        <f t="shared" si="4"/>
        <v>0</v>
      </c>
      <c r="G37" s="289">
        <v>0.05</v>
      </c>
      <c r="H37" s="10">
        <f t="shared" si="5"/>
        <v>0</v>
      </c>
    </row>
    <row r="38" spans="1:8">
      <c r="A38" s="483"/>
      <c r="B38" s="273" t="s">
        <v>492</v>
      </c>
      <c r="C38" s="288">
        <v>0</v>
      </c>
      <c r="D38" s="10">
        <f t="shared" si="3"/>
        <v>0</v>
      </c>
      <c r="E38" s="274"/>
      <c r="F38" s="10">
        <f t="shared" si="4"/>
        <v>0</v>
      </c>
      <c r="G38" s="289">
        <v>0</v>
      </c>
      <c r="H38" s="10">
        <f t="shared" si="5"/>
        <v>0</v>
      </c>
    </row>
    <row r="39" spans="1:8">
      <c r="A39" s="483"/>
      <c r="B39" s="273" t="s">
        <v>493</v>
      </c>
      <c r="C39" s="288">
        <v>0</v>
      </c>
      <c r="D39" s="10">
        <f t="shared" si="3"/>
        <v>0</v>
      </c>
      <c r="E39" s="274"/>
      <c r="F39" s="10">
        <f t="shared" si="4"/>
        <v>0</v>
      </c>
      <c r="G39" s="289">
        <v>0</v>
      </c>
      <c r="H39" s="10">
        <f t="shared" si="5"/>
        <v>0</v>
      </c>
    </row>
    <row r="40" spans="1:8">
      <c r="A40" s="483"/>
      <c r="B40" s="273" t="s">
        <v>494</v>
      </c>
      <c r="C40" s="288">
        <v>0</v>
      </c>
      <c r="D40" s="10">
        <f t="shared" si="3"/>
        <v>0</v>
      </c>
      <c r="E40" s="274"/>
      <c r="F40" s="10">
        <f t="shared" si="4"/>
        <v>0</v>
      </c>
      <c r="G40" s="289">
        <v>0</v>
      </c>
      <c r="H40" s="10">
        <f t="shared" si="5"/>
        <v>0</v>
      </c>
    </row>
    <row r="41" spans="1:8">
      <c r="A41" s="466" t="s">
        <v>403</v>
      </c>
      <c r="B41" s="466"/>
      <c r="C41" s="466"/>
      <c r="D41" s="466"/>
      <c r="E41" s="466"/>
      <c r="F41" s="466"/>
      <c r="G41" s="466"/>
      <c r="H41" s="466"/>
    </row>
    <row r="43" spans="1:8" ht="18.75">
      <c r="A43" s="470" t="s">
        <v>568</v>
      </c>
      <c r="B43" s="471"/>
      <c r="C43" s="471"/>
      <c r="D43" s="471"/>
      <c r="E43" s="471"/>
      <c r="F43" s="471"/>
      <c r="G43" s="471"/>
      <c r="H43" s="472"/>
    </row>
    <row r="44" spans="1:8">
      <c r="A44" s="473"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4"/>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5" t="s">
        <v>569</v>
      </c>
      <c r="B71" s="476"/>
      <c r="C71" s="476"/>
      <c r="D71" s="476"/>
      <c r="E71" s="476"/>
      <c r="F71" s="476"/>
      <c r="G71" s="476"/>
      <c r="H71" s="477"/>
    </row>
    <row r="72" spans="1:8">
      <c r="A72" s="478"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79"/>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5" t="s">
        <v>570</v>
      </c>
      <c r="B99" s="476"/>
      <c r="C99" s="476"/>
      <c r="D99" s="476"/>
      <c r="E99" s="476"/>
      <c r="F99" s="476"/>
      <c r="G99" s="476"/>
      <c r="H99" s="477"/>
    </row>
    <row r="100" spans="1:9">
      <c r="A100" s="464"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5"/>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543</v>
      </c>
      <c r="C129" s="302"/>
      <c r="D129" s="302"/>
      <c r="E129" s="302"/>
      <c r="F129" s="302"/>
      <c r="G129" s="302"/>
      <c r="H129" s="302"/>
      <c r="I129" s="302"/>
    </row>
    <row r="130" spans="1:9">
      <c r="A130">
        <v>1</v>
      </c>
      <c r="B130" t="s">
        <v>544</v>
      </c>
    </row>
    <row r="131" spans="1:9">
      <c r="A131">
        <v>2</v>
      </c>
      <c r="B131" t="s">
        <v>545</v>
      </c>
    </row>
    <row r="132" spans="1:9">
      <c r="A132">
        <v>3</v>
      </c>
      <c r="B132" t="s">
        <v>546</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2" t="s">
        <v>571</v>
      </c>
      <c r="B2" s="412"/>
      <c r="C2" s="412"/>
      <c r="D2" s="412"/>
      <c r="E2" s="412"/>
      <c r="F2" s="412"/>
      <c r="G2" s="412"/>
      <c r="H2" s="412"/>
    </row>
    <row r="3" spans="1:8" ht="18.75">
      <c r="A3" s="412" t="s">
        <v>572</v>
      </c>
      <c r="B3" s="412"/>
      <c r="C3" s="412"/>
      <c r="D3" s="412"/>
      <c r="E3" s="412"/>
      <c r="F3" s="412"/>
      <c r="G3" s="412"/>
      <c r="H3" s="412"/>
    </row>
    <row r="4" spans="1:8">
      <c r="B4" s="93"/>
      <c r="C4" s="93"/>
      <c r="D4" s="93"/>
      <c r="E4" s="93"/>
      <c r="F4" s="413" t="s">
        <v>479</v>
      </c>
      <c r="G4" s="413"/>
      <c r="H4" s="413"/>
    </row>
    <row r="5" spans="1:8">
      <c r="A5" s="93" t="s">
        <v>159</v>
      </c>
      <c r="B5" s="240">
        <v>100</v>
      </c>
      <c r="C5" s="93" t="s">
        <v>455</v>
      </c>
      <c r="D5" s="93"/>
      <c r="E5" s="93"/>
      <c r="F5" s="277" t="s">
        <v>480</v>
      </c>
      <c r="G5" s="277" t="s">
        <v>481</v>
      </c>
      <c r="H5" s="93"/>
    </row>
    <row r="6" spans="1:8">
      <c r="A6" s="93" t="s">
        <v>160</v>
      </c>
      <c r="B6" s="267">
        <v>8</v>
      </c>
      <c r="C6" s="93"/>
      <c r="D6" s="93"/>
      <c r="E6" s="93"/>
      <c r="F6" s="10" t="s">
        <v>477</v>
      </c>
      <c r="G6" s="310">
        <v>0.03</v>
      </c>
      <c r="H6" s="93"/>
    </row>
    <row r="7" spans="1:8">
      <c r="A7" s="93"/>
      <c r="B7" s="93"/>
      <c r="C7" s="93"/>
      <c r="D7" s="93"/>
      <c r="E7" s="93"/>
      <c r="F7" s="10" t="s">
        <v>478</v>
      </c>
      <c r="G7" s="310">
        <v>0.05</v>
      </c>
      <c r="H7" s="93"/>
    </row>
    <row r="8" spans="1:8">
      <c r="A8" s="93" t="s">
        <v>518</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454</v>
      </c>
      <c r="B10" s="286">
        <f>B33/($B$5*$B$6)</f>
        <v>7.1264531249999994</v>
      </c>
      <c r="C10" s="286">
        <f t="shared" ref="C10:H10" si="0">C33/($B$5*$B$6)</f>
        <v>8.314195312499999</v>
      </c>
      <c r="D10" s="286">
        <f t="shared" si="0"/>
        <v>9.5019374999999986</v>
      </c>
      <c r="E10" s="286">
        <f t="shared" si="0"/>
        <v>10.689679687499995</v>
      </c>
      <c r="F10" s="286">
        <f t="shared" si="0"/>
        <v>11.877421874999996</v>
      </c>
      <c r="G10" s="286">
        <f t="shared" si="0"/>
        <v>13.065164062499996</v>
      </c>
      <c r="H10" s="286">
        <f t="shared" si="0"/>
        <v>14.252906249999999</v>
      </c>
    </row>
    <row r="11" spans="1:8">
      <c r="A11" s="200" t="str">
        <f>'10.Grain Production details'!A42</f>
        <v>Soybean</v>
      </c>
      <c r="B11" s="200">
        <f>'10.Grain Production details'!B42</f>
        <v>1470.1499999999999</v>
      </c>
      <c r="C11" s="200">
        <f>'10.Grain Production details'!C42</f>
        <v>1715.175</v>
      </c>
      <c r="D11" s="200">
        <f>'10.Grain Production details'!D42</f>
        <v>1960.1999999999998</v>
      </c>
      <c r="E11" s="200">
        <f>'10.Grain Production details'!E42</f>
        <v>2205.2249999999999</v>
      </c>
      <c r="F11" s="200">
        <f>'10.Grain Production details'!F42</f>
        <v>2450.2499999999995</v>
      </c>
      <c r="G11" s="200">
        <f>'10.Grain Production details'!G42</f>
        <v>2695.2749999999996</v>
      </c>
      <c r="H11" s="200">
        <f>'10.Grain Production details'!H42</f>
        <v>2940.2999999999997</v>
      </c>
    </row>
    <row r="12" spans="1:8">
      <c r="A12" s="200" t="str">
        <f>'10.Grain Production details'!A43</f>
        <v>Tur</v>
      </c>
      <c r="B12" s="200">
        <f>'10.Grain Production details'!B43</f>
        <v>156.75</v>
      </c>
      <c r="C12" s="200">
        <f>'10.Grain Production details'!C43</f>
        <v>182.875</v>
      </c>
      <c r="D12" s="200">
        <f>'10.Grain Production details'!D43</f>
        <v>208.99999999999997</v>
      </c>
      <c r="E12" s="200">
        <f>'10.Grain Production details'!E43</f>
        <v>235.12499999999997</v>
      </c>
      <c r="F12" s="200">
        <f>'10.Grain Production details'!F43</f>
        <v>261.24999999999994</v>
      </c>
      <c r="G12" s="200">
        <f>'10.Grain Production details'!G43</f>
        <v>287.37499999999994</v>
      </c>
      <c r="H12" s="200">
        <f>'10.Grain Production details'!H43</f>
        <v>313.5</v>
      </c>
    </row>
    <row r="13" spans="1:8">
      <c r="A13" s="200" t="str">
        <f>'10.Grain Production details'!A44</f>
        <v>Turmeric</v>
      </c>
      <c r="B13" s="200">
        <f>'10.Grain Production details'!B44</f>
        <v>1715.175</v>
      </c>
      <c r="C13" s="200">
        <f>'10.Grain Production details'!C44</f>
        <v>2001.0374999999999</v>
      </c>
      <c r="D13" s="200">
        <f>'10.Grain Production details'!D44</f>
        <v>2286.8999999999996</v>
      </c>
      <c r="E13" s="200">
        <f>'10.Grain Production details'!E44</f>
        <v>2572.7624999999998</v>
      </c>
      <c r="F13" s="200">
        <f>'10.Grain Production details'!F44</f>
        <v>2858.6249999999995</v>
      </c>
      <c r="G13" s="200">
        <f>'10.Grain Production details'!G44</f>
        <v>3144.4874999999997</v>
      </c>
      <c r="H13" s="200">
        <f>'10.Grain Production details'!H44</f>
        <v>3430.35</v>
      </c>
    </row>
    <row r="14" spans="1:8">
      <c r="A14" s="200" t="str">
        <f>'10.Grain Production details'!A45</f>
        <v>Moong</v>
      </c>
      <c r="B14" s="200">
        <f>'10.Grain Production details'!B45</f>
        <v>114.34499999999998</v>
      </c>
      <c r="C14" s="200">
        <f>'10.Grain Production details'!C45</f>
        <v>133.40249999999997</v>
      </c>
      <c r="D14" s="200">
        <f>'10.Grain Production details'!D45</f>
        <v>152.45999999999998</v>
      </c>
      <c r="E14" s="200">
        <f>'10.Grain Production details'!E45</f>
        <v>171.51749999999998</v>
      </c>
      <c r="F14" s="200">
        <f>'10.Grain Production details'!F45</f>
        <v>190.57499999999996</v>
      </c>
      <c r="G14" s="200">
        <f>'10.Grain Production details'!G45</f>
        <v>209.63249999999996</v>
      </c>
      <c r="H14" s="200">
        <f>'10.Grain Production details'!H45</f>
        <v>228.68999999999997</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130.68</v>
      </c>
      <c r="C16" s="200">
        <f>'10.Grain Production details'!C47</f>
        <v>152.46</v>
      </c>
      <c r="D16" s="200">
        <f>'10.Grain Production details'!D47</f>
        <v>174.23999999999998</v>
      </c>
      <c r="E16" s="200">
        <f>'10.Grain Production details'!E47</f>
        <v>196.01999999999995</v>
      </c>
      <c r="F16" s="200">
        <f>'10.Grain Production details'!F47</f>
        <v>217.79999999999995</v>
      </c>
      <c r="G16" s="200">
        <f>'10.Grain Production details'!G47</f>
        <v>239.57999999999996</v>
      </c>
      <c r="H16" s="200">
        <f>'10.Grain Production details'!H47</f>
        <v>261.35999999999996</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160.04999999999998</v>
      </c>
      <c r="C18" s="200">
        <f>'10.Grain Production details'!C49</f>
        <v>186.72499999999999</v>
      </c>
      <c r="D18" s="200">
        <f>'10.Grain Production details'!D49</f>
        <v>213.39999999999998</v>
      </c>
      <c r="E18" s="200">
        <f>'10.Grain Production details'!E49</f>
        <v>240.07499999999999</v>
      </c>
      <c r="F18" s="200">
        <f>'10.Grain Production details'!F49</f>
        <v>266.74999999999994</v>
      </c>
      <c r="G18" s="200">
        <f>'10.Grain Production details'!G49</f>
        <v>293.42499999999995</v>
      </c>
      <c r="H18" s="200">
        <f>'10.Grain Production details'!H49</f>
        <v>320.09999999999997</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423.22499999999997</v>
      </c>
      <c r="C20" s="200">
        <f>'10.Grain Production details'!C51</f>
        <v>493.76249999999999</v>
      </c>
      <c r="D20" s="200">
        <f>'10.Grain Production details'!D51</f>
        <v>564.29999999999995</v>
      </c>
      <c r="E20" s="200">
        <f>'10.Grain Production details'!E51</f>
        <v>634.83749999999998</v>
      </c>
      <c r="F20" s="200">
        <f>'10.Grain Production details'!F51</f>
        <v>705.37499999999989</v>
      </c>
      <c r="G20" s="200">
        <f>'10.Grain Production details'!G51</f>
        <v>775.91249999999991</v>
      </c>
      <c r="H20" s="200">
        <f>'10.Grain Production details'!H51</f>
        <v>846.44999999999993</v>
      </c>
    </row>
    <row r="21" spans="1:8">
      <c r="A21" s="200" t="str">
        <f>'10.Grain Production details'!A52</f>
        <v>Channa</v>
      </c>
      <c r="B21" s="200">
        <f>'10.Grain Production details'!B52</f>
        <v>1316.6999999999996</v>
      </c>
      <c r="C21" s="200">
        <f>'10.Grain Production details'!C52</f>
        <v>1536.1499999999996</v>
      </c>
      <c r="D21" s="200">
        <f>'10.Grain Production details'!D52</f>
        <v>1755.5999999999995</v>
      </c>
      <c r="E21" s="200">
        <f>'10.Grain Production details'!E52</f>
        <v>1975.0499999999995</v>
      </c>
      <c r="F21" s="200">
        <f>'10.Grain Production details'!F52</f>
        <v>2194.4999999999991</v>
      </c>
      <c r="G21" s="200">
        <f>'10.Grain Production details'!G52</f>
        <v>2413.9499999999994</v>
      </c>
      <c r="H21" s="200">
        <f>'10.Grain Production details'!H52</f>
        <v>2633.3999999999992</v>
      </c>
    </row>
    <row r="22" spans="1:8">
      <c r="A22" s="200" t="str">
        <f>'10.Grain Production details'!A53</f>
        <v>Jawar</v>
      </c>
      <c r="B22" s="200">
        <f>'10.Grain Production details'!B53</f>
        <v>153.648</v>
      </c>
      <c r="C22" s="200">
        <f>'10.Grain Production details'!C53</f>
        <v>179.25599999999997</v>
      </c>
      <c r="D22" s="200">
        <f>'10.Grain Production details'!D53</f>
        <v>204.86399999999998</v>
      </c>
      <c r="E22" s="200">
        <f>'10.Grain Production details'!E53</f>
        <v>230.47199999999995</v>
      </c>
      <c r="F22" s="200">
        <f>'10.Grain Production details'!F53</f>
        <v>256.07999999999993</v>
      </c>
      <c r="G22" s="200">
        <f>'10.Grain Production details'!G53</f>
        <v>281.68799999999987</v>
      </c>
      <c r="H22" s="200">
        <f>'10.Grain Production details'!H53</f>
        <v>307.29599999999988</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49.004999999999995</v>
      </c>
      <c r="C25" s="200">
        <f>'10.Grain Production details'!C56</f>
        <v>57.172499999999992</v>
      </c>
      <c r="D25" s="200">
        <f>'10.Grain Production details'!D56</f>
        <v>65.339999999999989</v>
      </c>
      <c r="E25" s="200">
        <f>'10.Grain Production details'!E56</f>
        <v>73.507499999999993</v>
      </c>
      <c r="F25" s="200">
        <f>'10.Grain Production details'!F56</f>
        <v>81.674999999999983</v>
      </c>
      <c r="G25" s="200">
        <f>'10.Grain Production details'!G56</f>
        <v>89.842499999999987</v>
      </c>
      <c r="H25" s="200">
        <f>'10.Grain Production details'!H56</f>
        <v>98.009999999999991</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6.5339999999999998</v>
      </c>
      <c r="C28" s="200">
        <f>'10.Grain Production details'!C59</f>
        <v>7.6230000000000002</v>
      </c>
      <c r="D28" s="200">
        <f>'10.Grain Production details'!D59</f>
        <v>8.7119999999999997</v>
      </c>
      <c r="E28" s="200">
        <f>'10.Grain Production details'!E59</f>
        <v>9.8010000000000002</v>
      </c>
      <c r="F28" s="200">
        <f>'10.Grain Production details'!F59</f>
        <v>10.889999999999999</v>
      </c>
      <c r="G28" s="200">
        <f>'10.Grain Production details'!G59</f>
        <v>11.978999999999999</v>
      </c>
      <c r="H28" s="200">
        <f>'10.Grain Production details'!H59</f>
        <v>13.068</v>
      </c>
    </row>
    <row r="29" spans="1:8">
      <c r="A29" s="200" t="str">
        <f>'10.Grain Production details'!A60</f>
        <v>Paddy</v>
      </c>
      <c r="B29" s="200">
        <f>'10.Grain Production details'!B60</f>
        <v>4.9005000000000001</v>
      </c>
      <c r="C29" s="200">
        <f>'10.Grain Production details'!C60</f>
        <v>5.7172499999999999</v>
      </c>
      <c r="D29" s="200">
        <f>'10.Grain Production details'!D60</f>
        <v>6.5339999999999998</v>
      </c>
      <c r="E29" s="200">
        <f>'10.Grain Production details'!E60</f>
        <v>7.3507499999999997</v>
      </c>
      <c r="F29" s="200">
        <f>'10.Grain Production details'!F60</f>
        <v>8.1674999999999986</v>
      </c>
      <c r="G29" s="200">
        <f>'10.Grain Production details'!G60</f>
        <v>8.9842499999999994</v>
      </c>
      <c r="H29" s="200">
        <f>'10.Grain Production details'!H60</f>
        <v>9.8010000000000002</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515</v>
      </c>
      <c r="B33" s="200">
        <f t="shared" ref="B33:H33" si="1">SUM(B11:B32)</f>
        <v>5701.1624999999995</v>
      </c>
      <c r="C33" s="200">
        <f t="shared" si="1"/>
        <v>6651.3562499999989</v>
      </c>
      <c r="D33" s="200">
        <f t="shared" si="1"/>
        <v>7601.5499999999984</v>
      </c>
      <c r="E33" s="200">
        <f t="shared" si="1"/>
        <v>8551.743749999996</v>
      </c>
      <c r="F33" s="200">
        <f t="shared" si="1"/>
        <v>9501.9374999999964</v>
      </c>
      <c r="G33" s="200">
        <f t="shared" si="1"/>
        <v>10452.131249999997</v>
      </c>
      <c r="H33" s="200">
        <f t="shared" si="1"/>
        <v>11402.324999999999</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514</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516</v>
      </c>
      <c r="B62" s="287">
        <v>0.4</v>
      </c>
      <c r="C62" s="287">
        <v>0.4</v>
      </c>
      <c r="D62" s="287">
        <v>0.4</v>
      </c>
      <c r="E62" s="287">
        <v>0.4</v>
      </c>
      <c r="F62" s="287">
        <v>0.4</v>
      </c>
      <c r="G62" s="287">
        <v>0.4</v>
      </c>
      <c r="H62" s="287">
        <v>0.4</v>
      </c>
    </row>
    <row r="63" spans="1:8">
      <c r="A63" s="268" t="s">
        <v>517</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2280.4649999999997</v>
      </c>
      <c r="C65" s="269">
        <f t="shared" si="4"/>
        <v>2660.5424999999996</v>
      </c>
      <c r="D65" s="269">
        <f t="shared" si="4"/>
        <v>3040.6199999999994</v>
      </c>
      <c r="E65" s="269">
        <f t="shared" si="4"/>
        <v>3420.6974999999984</v>
      </c>
      <c r="F65" s="269">
        <f t="shared" si="4"/>
        <v>3800.7749999999987</v>
      </c>
      <c r="G65" s="269">
        <f t="shared" si="4"/>
        <v>4180.8524999999991</v>
      </c>
      <c r="H65" s="269">
        <f t="shared" si="4"/>
        <v>4560.9299999999994</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882.08999999999992</v>
      </c>
      <c r="C68" s="285">
        <f t="shared" ref="C68:C83" si="7">C11*$C$63</f>
        <v>1029.105</v>
      </c>
      <c r="D68" s="285">
        <f t="shared" ref="D68:D83" si="8">D11*$D$63</f>
        <v>1176.1199999999999</v>
      </c>
      <c r="E68" s="285">
        <f t="shared" ref="E68:E83" si="9">E11*$E$63</f>
        <v>1323.135</v>
      </c>
      <c r="F68" s="285">
        <f t="shared" ref="F68:F83" si="10">F11*$F$63</f>
        <v>1470.1499999999996</v>
      </c>
      <c r="G68" s="285">
        <f t="shared" ref="G68:G83" si="11">G11*$G$63</f>
        <v>1617.1649999999997</v>
      </c>
      <c r="H68" s="285">
        <f t="shared" ref="H68:H83" si="12">H11*$H$63</f>
        <v>1764.1799999999998</v>
      </c>
    </row>
    <row r="69" spans="1:8">
      <c r="A69" s="94" t="str">
        <f t="shared" si="5"/>
        <v>Tur</v>
      </c>
      <c r="B69" s="285">
        <f t="shared" si="6"/>
        <v>94.05</v>
      </c>
      <c r="C69" s="285">
        <f t="shared" si="7"/>
        <v>109.72499999999999</v>
      </c>
      <c r="D69" s="285">
        <f t="shared" si="8"/>
        <v>125.39999999999998</v>
      </c>
      <c r="E69" s="285">
        <f t="shared" si="9"/>
        <v>141.07499999999999</v>
      </c>
      <c r="F69" s="285">
        <f t="shared" si="10"/>
        <v>156.74999999999997</v>
      </c>
      <c r="G69" s="285">
        <f t="shared" si="11"/>
        <v>172.42499999999995</v>
      </c>
      <c r="H69" s="285">
        <f t="shared" si="12"/>
        <v>188.1</v>
      </c>
    </row>
    <row r="70" spans="1:8">
      <c r="A70" s="94" t="str">
        <f t="shared" si="5"/>
        <v>Turmeric</v>
      </c>
      <c r="B70" s="285">
        <f t="shared" si="6"/>
        <v>1029.105</v>
      </c>
      <c r="C70" s="285">
        <f t="shared" si="7"/>
        <v>1200.6224999999999</v>
      </c>
      <c r="D70" s="285">
        <f t="shared" si="8"/>
        <v>1372.1399999999996</v>
      </c>
      <c r="E70" s="285">
        <f t="shared" si="9"/>
        <v>1543.6574999999998</v>
      </c>
      <c r="F70" s="285">
        <f t="shared" si="10"/>
        <v>1715.1749999999997</v>
      </c>
      <c r="G70" s="285">
        <f t="shared" si="11"/>
        <v>1886.6924999999997</v>
      </c>
      <c r="H70" s="285">
        <f t="shared" si="12"/>
        <v>2058.21</v>
      </c>
    </row>
    <row r="71" spans="1:8">
      <c r="A71" s="94" t="str">
        <f t="shared" si="5"/>
        <v>Moong</v>
      </c>
      <c r="B71" s="285">
        <f t="shared" si="6"/>
        <v>68.606999999999985</v>
      </c>
      <c r="C71" s="285">
        <f t="shared" si="7"/>
        <v>80.041499999999985</v>
      </c>
      <c r="D71" s="285">
        <f t="shared" si="8"/>
        <v>91.475999999999985</v>
      </c>
      <c r="E71" s="285">
        <f t="shared" si="9"/>
        <v>102.91049999999998</v>
      </c>
      <c r="F71" s="285">
        <f t="shared" si="10"/>
        <v>114.34499999999997</v>
      </c>
      <c r="G71" s="285">
        <f t="shared" si="11"/>
        <v>125.77949999999997</v>
      </c>
      <c r="H71" s="285">
        <f t="shared" si="12"/>
        <v>137.21399999999997</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78.408000000000001</v>
      </c>
      <c r="C73" s="285">
        <f t="shared" si="7"/>
        <v>91.475999999999999</v>
      </c>
      <c r="D73" s="285">
        <f t="shared" si="8"/>
        <v>104.54399999999998</v>
      </c>
      <c r="E73" s="285">
        <f t="shared" si="9"/>
        <v>117.61199999999997</v>
      </c>
      <c r="F73" s="285">
        <f t="shared" si="10"/>
        <v>130.67999999999998</v>
      </c>
      <c r="G73" s="285">
        <f t="shared" si="11"/>
        <v>143.74799999999996</v>
      </c>
      <c r="H73" s="285">
        <f t="shared" si="12"/>
        <v>156.81599999999997</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96.029999999999987</v>
      </c>
      <c r="C75" s="285">
        <f t="shared" si="7"/>
        <v>112.035</v>
      </c>
      <c r="D75" s="285">
        <f t="shared" si="8"/>
        <v>128.04</v>
      </c>
      <c r="E75" s="285">
        <f t="shared" si="9"/>
        <v>144.04499999999999</v>
      </c>
      <c r="F75" s="285">
        <f t="shared" si="10"/>
        <v>160.04999999999995</v>
      </c>
      <c r="G75" s="285">
        <f t="shared" si="11"/>
        <v>176.05499999999998</v>
      </c>
      <c r="H75" s="285">
        <f t="shared" si="12"/>
        <v>192.05999999999997</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253.93499999999997</v>
      </c>
      <c r="C77" s="285">
        <f t="shared" si="7"/>
        <v>296.25749999999999</v>
      </c>
      <c r="D77" s="285">
        <f t="shared" si="8"/>
        <v>338.58</v>
      </c>
      <c r="E77" s="285">
        <f t="shared" si="9"/>
        <v>380.90249999999997</v>
      </c>
      <c r="F77" s="285">
        <f t="shared" si="10"/>
        <v>423.22499999999991</v>
      </c>
      <c r="G77" s="285">
        <f t="shared" si="11"/>
        <v>465.5474999999999</v>
      </c>
      <c r="H77" s="285">
        <f t="shared" si="12"/>
        <v>507.86999999999995</v>
      </c>
    </row>
    <row r="78" spans="1:8">
      <c r="A78" s="94" t="str">
        <f t="shared" si="5"/>
        <v>Channa</v>
      </c>
      <c r="B78" s="285">
        <f t="shared" si="6"/>
        <v>790.01999999999975</v>
      </c>
      <c r="C78" s="285">
        <f t="shared" si="7"/>
        <v>921.68999999999971</v>
      </c>
      <c r="D78" s="285">
        <f t="shared" si="8"/>
        <v>1053.3599999999997</v>
      </c>
      <c r="E78" s="285">
        <f t="shared" si="9"/>
        <v>1185.0299999999997</v>
      </c>
      <c r="F78" s="285">
        <f t="shared" si="10"/>
        <v>1316.6999999999994</v>
      </c>
      <c r="G78" s="285">
        <f t="shared" si="11"/>
        <v>1448.3699999999997</v>
      </c>
      <c r="H78" s="285">
        <f t="shared" si="12"/>
        <v>1580.0399999999995</v>
      </c>
    </row>
    <row r="79" spans="1:8">
      <c r="A79" s="94" t="str">
        <f t="shared" si="5"/>
        <v>Jawar</v>
      </c>
      <c r="B79" s="285">
        <f t="shared" si="6"/>
        <v>92.188800000000001</v>
      </c>
      <c r="C79" s="285">
        <f t="shared" si="7"/>
        <v>107.55359999999997</v>
      </c>
      <c r="D79" s="285">
        <f t="shared" si="8"/>
        <v>122.91839999999998</v>
      </c>
      <c r="E79" s="285">
        <f t="shared" si="9"/>
        <v>138.28319999999997</v>
      </c>
      <c r="F79" s="285">
        <f t="shared" si="10"/>
        <v>153.64799999999994</v>
      </c>
      <c r="G79" s="285">
        <f t="shared" si="11"/>
        <v>169.01279999999991</v>
      </c>
      <c r="H79" s="285">
        <f t="shared" si="12"/>
        <v>184.37759999999992</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29.402999999999995</v>
      </c>
      <c r="C82" s="285">
        <f t="shared" si="7"/>
        <v>34.303499999999993</v>
      </c>
      <c r="D82" s="285">
        <f t="shared" si="8"/>
        <v>39.203999999999994</v>
      </c>
      <c r="E82" s="285">
        <f t="shared" si="9"/>
        <v>44.104499999999994</v>
      </c>
      <c r="F82" s="285">
        <f t="shared" si="10"/>
        <v>49.004999999999988</v>
      </c>
      <c r="G82" s="285">
        <f t="shared" si="11"/>
        <v>53.905499999999989</v>
      </c>
      <c r="H82" s="285">
        <f t="shared" si="12"/>
        <v>58.80599999999999</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3.9203999999999999</v>
      </c>
      <c r="C85" s="285">
        <f t="shared" si="13"/>
        <v>4.5738000000000003</v>
      </c>
      <c r="D85" s="285">
        <f t="shared" si="13"/>
        <v>5.2271999999999998</v>
      </c>
      <c r="E85" s="285">
        <f t="shared" si="13"/>
        <v>5.8806000000000003</v>
      </c>
      <c r="F85" s="285">
        <f t="shared" si="13"/>
        <v>6.5339999999999989</v>
      </c>
      <c r="G85" s="285">
        <f t="shared" si="13"/>
        <v>7.1873999999999993</v>
      </c>
      <c r="H85" s="285">
        <f t="shared" si="13"/>
        <v>7.8407999999999998</v>
      </c>
    </row>
    <row r="86" spans="1:12">
      <c r="A86" s="94" t="str">
        <f t="shared" si="5"/>
        <v>Paddy</v>
      </c>
      <c r="B86" s="285">
        <f t="shared" si="6"/>
        <v>2.9403000000000001</v>
      </c>
      <c r="C86" s="285">
        <f t="shared" si="13"/>
        <v>3.4303499999999998</v>
      </c>
      <c r="D86" s="285">
        <f t="shared" si="13"/>
        <v>3.9203999999999999</v>
      </c>
      <c r="E86" s="285">
        <f t="shared" si="13"/>
        <v>4.41045</v>
      </c>
      <c r="F86" s="285">
        <f t="shared" si="13"/>
        <v>4.9004999999999992</v>
      </c>
      <c r="G86" s="285">
        <f t="shared" si="13"/>
        <v>5.3905499999999993</v>
      </c>
      <c r="H86" s="285">
        <f t="shared" si="13"/>
        <v>5.8806000000000003</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855.62729999999988</v>
      </c>
      <c r="C120" s="286">
        <f t="shared" si="20"/>
        <v>998.23185000000001</v>
      </c>
      <c r="D120" s="286">
        <f t="shared" si="20"/>
        <v>1140.8363999999999</v>
      </c>
      <c r="E120" s="286">
        <f t="shared" si="20"/>
        <v>1283.4409499999999</v>
      </c>
      <c r="F120" s="286">
        <f t="shared" si="20"/>
        <v>1426.0454999999997</v>
      </c>
      <c r="G120" s="286">
        <f t="shared" si="20"/>
        <v>1568.6500499999997</v>
      </c>
      <c r="H120" s="286">
        <f t="shared" si="20"/>
        <v>1711.2545999999998</v>
      </c>
    </row>
    <row r="121" spans="1:12">
      <c r="A121" s="98" t="str">
        <f t="shared" si="19"/>
        <v>Tur</v>
      </c>
      <c r="B121" s="286">
        <f t="shared" si="20"/>
        <v>91.228499999999997</v>
      </c>
      <c r="C121" s="286">
        <f t="shared" si="20"/>
        <v>106.43325</v>
      </c>
      <c r="D121" s="286">
        <f t="shared" si="20"/>
        <v>121.63799999999998</v>
      </c>
      <c r="E121" s="286">
        <f t="shared" si="20"/>
        <v>136.84275</v>
      </c>
      <c r="F121" s="286">
        <f t="shared" si="20"/>
        <v>152.04749999999999</v>
      </c>
      <c r="G121" s="286">
        <f t="shared" si="20"/>
        <v>167.25224999999995</v>
      </c>
      <c r="H121" s="286">
        <f t="shared" si="20"/>
        <v>182.45699999999999</v>
      </c>
    </row>
    <row r="122" spans="1:12">
      <c r="A122" s="98" t="str">
        <f t="shared" si="19"/>
        <v>Turmeric</v>
      </c>
      <c r="B122" s="286">
        <f t="shared" si="20"/>
        <v>998.23185000000001</v>
      </c>
      <c r="C122" s="286">
        <f t="shared" si="20"/>
        <v>1164.6038249999999</v>
      </c>
      <c r="D122" s="286">
        <f t="shared" si="20"/>
        <v>1330.9757999999997</v>
      </c>
      <c r="E122" s="286">
        <f t="shared" si="20"/>
        <v>1497.3477749999997</v>
      </c>
      <c r="F122" s="286">
        <f t="shared" si="20"/>
        <v>1663.7197499999997</v>
      </c>
      <c r="G122" s="286">
        <f t="shared" si="20"/>
        <v>1830.0917249999998</v>
      </c>
      <c r="H122" s="286">
        <f t="shared" si="20"/>
        <v>1996.4637</v>
      </c>
    </row>
    <row r="123" spans="1:12">
      <c r="A123" s="98" t="str">
        <f t="shared" si="19"/>
        <v>Moong</v>
      </c>
      <c r="B123" s="286">
        <f t="shared" si="20"/>
        <v>66.548789999999983</v>
      </c>
      <c r="C123" s="286">
        <f t="shared" si="20"/>
        <v>77.640254999999982</v>
      </c>
      <c r="D123" s="286">
        <f t="shared" si="20"/>
        <v>88.731719999999981</v>
      </c>
      <c r="E123" s="286">
        <f t="shared" si="20"/>
        <v>99.823184999999981</v>
      </c>
      <c r="F123" s="286">
        <f t="shared" si="20"/>
        <v>110.91464999999997</v>
      </c>
      <c r="G123" s="286">
        <f t="shared" si="20"/>
        <v>122.00611499999997</v>
      </c>
      <c r="H123" s="286">
        <f t="shared" si="20"/>
        <v>133.09757999999997</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76.055760000000006</v>
      </c>
      <c r="C125" s="286">
        <f t="shared" si="20"/>
        <v>88.731719999999996</v>
      </c>
      <c r="D125" s="286">
        <f t="shared" si="20"/>
        <v>101.40767999999998</v>
      </c>
      <c r="E125" s="286">
        <f t="shared" si="20"/>
        <v>114.08363999999997</v>
      </c>
      <c r="F125" s="286">
        <f t="shared" si="20"/>
        <v>126.75959999999998</v>
      </c>
      <c r="G125" s="286">
        <f t="shared" si="20"/>
        <v>139.43555999999995</v>
      </c>
      <c r="H125" s="286">
        <f t="shared" si="20"/>
        <v>152.11151999999998</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93.14909999999999</v>
      </c>
      <c r="C127" s="286">
        <f t="shared" si="20"/>
        <v>108.67394999999999</v>
      </c>
      <c r="D127" s="286">
        <f t="shared" si="20"/>
        <v>124.19879999999999</v>
      </c>
      <c r="E127" s="286">
        <f t="shared" si="20"/>
        <v>139.72364999999999</v>
      </c>
      <c r="F127" s="286">
        <f t="shared" si="20"/>
        <v>155.24849999999995</v>
      </c>
      <c r="G127" s="286">
        <f t="shared" si="20"/>
        <v>170.77334999999999</v>
      </c>
      <c r="H127" s="286">
        <f t="shared" si="20"/>
        <v>186.29819999999998</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246.31694999999996</v>
      </c>
      <c r="C129" s="286">
        <f t="shared" si="20"/>
        <v>287.369775</v>
      </c>
      <c r="D129" s="286">
        <f t="shared" si="20"/>
        <v>328.42259999999999</v>
      </c>
      <c r="E129" s="286">
        <f t="shared" si="20"/>
        <v>369.47542499999997</v>
      </c>
      <c r="F129" s="286">
        <f t="shared" si="20"/>
        <v>410.5282499999999</v>
      </c>
      <c r="G129" s="286">
        <f t="shared" si="20"/>
        <v>451.58107499999988</v>
      </c>
      <c r="H129" s="286">
        <f t="shared" si="20"/>
        <v>492.63389999999993</v>
      </c>
    </row>
    <row r="130" spans="1:8">
      <c r="A130" s="98" t="str">
        <f t="shared" si="19"/>
        <v>Channa</v>
      </c>
      <c r="B130" s="286">
        <f t="shared" ref="B130:H139" si="21">B78-(B78*$G$6)</f>
        <v>766.31939999999975</v>
      </c>
      <c r="C130" s="286">
        <f t="shared" si="21"/>
        <v>894.03929999999968</v>
      </c>
      <c r="D130" s="286">
        <f t="shared" si="21"/>
        <v>1021.7591999999997</v>
      </c>
      <c r="E130" s="286">
        <f t="shared" si="21"/>
        <v>1149.4790999999998</v>
      </c>
      <c r="F130" s="286">
        <f t="shared" si="21"/>
        <v>1277.1989999999994</v>
      </c>
      <c r="G130" s="286">
        <f t="shared" si="21"/>
        <v>1404.9188999999997</v>
      </c>
      <c r="H130" s="286">
        <f t="shared" si="21"/>
        <v>1532.6387999999995</v>
      </c>
    </row>
    <row r="131" spans="1:8">
      <c r="A131" s="98" t="str">
        <f t="shared" si="19"/>
        <v>Jawar</v>
      </c>
      <c r="B131" s="286">
        <f t="shared" si="21"/>
        <v>89.423136</v>
      </c>
      <c r="C131" s="286">
        <f t="shared" si="21"/>
        <v>104.32699199999998</v>
      </c>
      <c r="D131" s="286">
        <f t="shared" si="21"/>
        <v>119.23084799999998</v>
      </c>
      <c r="E131" s="286">
        <f t="shared" si="21"/>
        <v>134.13470399999997</v>
      </c>
      <c r="F131" s="286">
        <f t="shared" si="21"/>
        <v>149.03855999999993</v>
      </c>
      <c r="G131" s="286">
        <f t="shared" si="21"/>
        <v>163.94241599999992</v>
      </c>
      <c r="H131" s="286">
        <f t="shared" si="21"/>
        <v>178.84627199999991</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28.520909999999994</v>
      </c>
      <c r="C134" s="286">
        <f t="shared" si="21"/>
        <v>33.274394999999991</v>
      </c>
      <c r="D134" s="286">
        <f t="shared" si="21"/>
        <v>38.027879999999996</v>
      </c>
      <c r="E134" s="286">
        <f t="shared" si="21"/>
        <v>42.781364999999994</v>
      </c>
      <c r="F134" s="286">
        <f t="shared" si="21"/>
        <v>47.534849999999992</v>
      </c>
      <c r="G134" s="286">
        <f t="shared" si="21"/>
        <v>52.288334999999989</v>
      </c>
      <c r="H134" s="286">
        <f t="shared" si="21"/>
        <v>57.041819999999987</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3.8027880000000001</v>
      </c>
      <c r="C137" s="286">
        <f t="shared" si="21"/>
        <v>4.4365860000000001</v>
      </c>
      <c r="D137" s="286">
        <f t="shared" si="21"/>
        <v>5.0703839999999998</v>
      </c>
      <c r="E137" s="286">
        <f t="shared" si="21"/>
        <v>5.7041820000000003</v>
      </c>
      <c r="F137" s="286">
        <f t="shared" si="21"/>
        <v>6.3379799999999991</v>
      </c>
      <c r="G137" s="286">
        <f t="shared" si="21"/>
        <v>6.9717779999999996</v>
      </c>
      <c r="H137" s="286">
        <f t="shared" si="21"/>
        <v>7.6055760000000001</v>
      </c>
    </row>
    <row r="138" spans="1:8">
      <c r="A138" s="98" t="str">
        <f t="shared" si="19"/>
        <v>Paddy</v>
      </c>
      <c r="B138" s="286">
        <f t="shared" si="21"/>
        <v>2.8520910000000002</v>
      </c>
      <c r="C138" s="286">
        <f t="shared" si="21"/>
        <v>3.3274394999999997</v>
      </c>
      <c r="D138" s="286">
        <f t="shared" si="21"/>
        <v>3.8027880000000001</v>
      </c>
      <c r="E138" s="286">
        <f t="shared" si="21"/>
        <v>4.2781364999999996</v>
      </c>
      <c r="F138" s="286">
        <f t="shared" si="21"/>
        <v>4.7534849999999995</v>
      </c>
      <c r="G138" s="286">
        <f t="shared" si="21"/>
        <v>5.2288334999999995</v>
      </c>
      <c r="H138" s="286">
        <f t="shared" si="21"/>
        <v>5.7041820000000003</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2" t="s">
        <v>573</v>
      </c>
      <c r="B170" s="412"/>
      <c r="C170" s="412"/>
      <c r="D170" s="412"/>
      <c r="E170" s="412"/>
      <c r="F170" s="412"/>
      <c r="G170" s="412"/>
      <c r="H170" s="412"/>
      <c r="I170" s="412"/>
      <c r="J170" s="412"/>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3336946.4699999997</v>
      </c>
      <c r="E178" s="199">
        <f>((C120*(1-'5.Closing Stock &amp; W Capital'!$D$15))+(B120*'5.Closing Stock &amp; W Capital'!$D$15))*$C178*E$172</f>
        <v>6423621.9547500005</v>
      </c>
      <c r="F178" s="199">
        <f>((D120*(1-'5.Closing Stock &amp; W Capital'!$D$15))+(C120*'5.Closing Stock &amp; W Capital'!$D$15))*$C178*F$172</f>
        <v>7766742.9089249996</v>
      </c>
      <c r="G178" s="199">
        <f>((E120*(1-'5.Closing Stock &amp; W Capital'!$D$15))+(D120*'5.Closing Stock &amp; W Capital'!$D$15))*$C178*G$172</f>
        <v>9228116.9036306255</v>
      </c>
      <c r="H178" s="199">
        <f>((F120*(1-'5.Closing Stock &amp; W Capital'!$D$15))+(E120*'5.Closing Stock &amp; W Capital'!$D$15))*$C178*H$172</f>
        <v>10816211.4405345</v>
      </c>
      <c r="I178" s="199">
        <f>((G120*(1-'5.Closing Stock &amp; W Capital'!$D$15))+(F120*'5.Closing Stock &amp; W Capital'!$D$15))*$C178*I$172</f>
        <v>12540045.138869688</v>
      </c>
      <c r="J178" s="199">
        <f>((H120*(1-'5.Closing Stock &amp; W Capital'!$D$15))+(G120*'5.Closing Stock &amp; W Capital'!$D$15))*$C178*J$172</f>
        <v>14409221.678437056</v>
      </c>
      <c r="K178" s="93"/>
      <c r="L178" s="93"/>
    </row>
    <row r="179" spans="1:12">
      <c r="A179" s="94" t="str">
        <f t="shared" si="32"/>
        <v>Tur</v>
      </c>
      <c r="B179" s="94" t="s">
        <v>361</v>
      </c>
      <c r="C179" s="250">
        <v>6500</v>
      </c>
      <c r="D179" s="199">
        <f>(B121*(1-'5.Closing Stock &amp; W Capital'!$D$15))*$C179*D$172</f>
        <v>355791.14999999997</v>
      </c>
      <c r="E179" s="199">
        <f>((C121*(1-'5.Closing Stock &amp; W Capital'!$D$15))+(B121*'5.Closing Stock &amp; W Capital'!$D$15))*$C179*E$172</f>
        <v>684897.96375</v>
      </c>
      <c r="F179" s="199">
        <f>((D121*(1-'5.Closing Stock &amp; W Capital'!$D$15))+(C121*'5.Closing Stock &amp; W Capital'!$D$15))*$C179*F$172</f>
        <v>828103.90162499994</v>
      </c>
      <c r="G179" s="199">
        <f>((E121*(1-'5.Closing Stock &amp; W Capital'!$D$15))+(D121*'5.Closing Stock &amp; W Capital'!$D$15))*$C179*G$172</f>
        <v>983918.18837812508</v>
      </c>
      <c r="H179" s="199">
        <f>((F121*(1-'5.Closing Stock &amp; W Capital'!$D$15))+(E121*'5.Closing Stock &amp; W Capital'!$D$15))*$C179*H$172</f>
        <v>1153243.6440525001</v>
      </c>
      <c r="I179" s="199">
        <f>((G121*(1-'5.Closing Stock &amp; W Capital'!$D$15))+(F121*'5.Closing Stock &amp; W Capital'!$D$15))*$C179*I$172</f>
        <v>1337041.8498233671</v>
      </c>
      <c r="J179" s="199">
        <f>((H121*(1-'5.Closing Stock &amp; W Capital'!$D$15))+(G121*'5.Closing Stock &amp; W Capital'!$D$15))*$C179*J$172</f>
        <v>1536336.7670611902</v>
      </c>
      <c r="K179" s="93"/>
      <c r="L179" s="93"/>
    </row>
    <row r="180" spans="1:12">
      <c r="A180" s="94" t="str">
        <f t="shared" si="32"/>
        <v>Turmeric</v>
      </c>
      <c r="B180" s="94" t="s">
        <v>361</v>
      </c>
      <c r="C180" s="250">
        <v>10000</v>
      </c>
      <c r="D180" s="199">
        <f>(B122*(1-'5.Closing Stock &amp; W Capital'!$D$15))*$C180*D$172</f>
        <v>5989391.1000000006</v>
      </c>
      <c r="E180" s="199">
        <f>((C122*(1-'5.Closing Stock &amp; W Capital'!$D$15))+(B122*'5.Closing Stock &amp; W Capital'!$D$15))*$C180*E$172</f>
        <v>11529577.867499998</v>
      </c>
      <c r="F180" s="199">
        <f>((D122*(1-'5.Closing Stock &amp; W Capital'!$D$15))+(C122*'5.Closing Stock &amp; W Capital'!$D$15))*$C180*F$172</f>
        <v>13940307.785250001</v>
      </c>
      <c r="G180" s="199">
        <f>((E122*(1-'5.Closing Stock &amp; W Capital'!$D$15))+(D122*'5.Closing Stock &amp; W Capital'!$D$15))*$C180*G$172</f>
        <v>16563286.750106247</v>
      </c>
      <c r="H180" s="199">
        <f>((F122*(1-'5.Closing Stock &amp; W Capital'!$D$15))+(E122*'5.Closing Stock &amp; W Capital'!$D$15))*$C180*H$172</f>
        <v>19413712.841985002</v>
      </c>
      <c r="I180" s="199">
        <f>((G122*(1-'5.Closing Stock &amp; W Capital'!$D$15))+(F122*'5.Closing Stock &amp; W Capital'!$D$15))*$C180*I$172</f>
        <v>22507773.326176364</v>
      </c>
      <c r="J180" s="199">
        <f>((H122*(1-'5.Closing Stock &amp; W Capital'!$D$15))+(G122*'5.Closing Stock &amp; W Capital'!$D$15))*$C180*J$172</f>
        <v>25862705.576681901</v>
      </c>
      <c r="K180" s="93"/>
      <c r="L180" s="93"/>
    </row>
    <row r="181" spans="1:12">
      <c r="A181" s="94" t="str">
        <f t="shared" si="32"/>
        <v>Moong</v>
      </c>
      <c r="B181" s="94" t="s">
        <v>361</v>
      </c>
      <c r="C181" s="250">
        <v>5500</v>
      </c>
      <c r="D181" s="199">
        <f>(B123*(1-'5.Closing Stock &amp; W Capital'!$D$15))*$C181*D$172</f>
        <v>219611.00699999993</v>
      </c>
      <c r="E181" s="199">
        <f>((C123*(1-'5.Closing Stock &amp; W Capital'!$D$15))+(B123*'5.Closing Stock &amp; W Capital'!$D$15))*$C181*E$172</f>
        <v>422751.18847499986</v>
      </c>
      <c r="F181" s="199">
        <f>((D123*(1-'5.Closing Stock &amp; W Capital'!$D$15))+(C123*'5.Closing Stock &amp; W Capital'!$D$15))*$C181*F$172</f>
        <v>511144.6187925</v>
      </c>
      <c r="G181" s="199">
        <f>((E123*(1-'5.Closing Stock &amp; W Capital'!$D$15))+(D123*'5.Closing Stock &amp; W Capital'!$D$15))*$C181*G$172</f>
        <v>607320.5141705625</v>
      </c>
      <c r="H181" s="199">
        <f>((F123*(1-'5.Closing Stock &amp; W Capital'!$D$15))+(E123*'5.Closing Stock &amp; W Capital'!$D$15))*$C181*H$172</f>
        <v>711836.13753944996</v>
      </c>
      <c r="I181" s="199">
        <f>((G123*(1-'5.Closing Stock &amp; W Capital'!$D$15))+(F123*'5.Closing Stock &amp; W Capital'!$D$15))*$C181*I$172</f>
        <v>825285.02195979981</v>
      </c>
      <c r="J181" s="199">
        <f>((H123*(1-'5.Closing Stock &amp; W Capital'!$D$15))+(G123*'5.Closing Stock &amp; W Capital'!$D$15))*$C181*J$172</f>
        <v>948299.20447833615</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273800.73600000003</v>
      </c>
      <c r="E183" s="199">
        <f>((C125*(1-'5.Closing Stock &amp; W Capital'!$D$15))+(B125*'5.Closing Stock &amp; W Capital'!$D$15))*$C183*E$172</f>
        <v>527066.41680000012</v>
      </c>
      <c r="F183" s="199">
        <f>((D125*(1-'5.Closing Stock &amp; W Capital'!$D$15))+(C125*'5.Closing Stock &amp; W Capital'!$D$15))*$C183*F$172</f>
        <v>637271.21303999983</v>
      </c>
      <c r="G183" s="199">
        <f>((E125*(1-'5.Closing Stock &amp; W Capital'!$D$15))+(D125*'5.Closing Stock &amp; W Capital'!$D$15))*$C183*G$172</f>
        <v>757178.82286199986</v>
      </c>
      <c r="H183" s="199">
        <f>((F125*(1-'5.Closing Stock &amp; W Capital'!$D$15))+(E125*'5.Closing Stock &amp; W Capital'!$D$15))*$C183*H$172</f>
        <v>887484.01563359995</v>
      </c>
      <c r="I183" s="199">
        <f>((G125*(1-'5.Closing Stock &amp; W Capital'!$D$15))+(F125*'5.Closing Stock &amp; W Capital'!$D$15))*$C183*I$172</f>
        <v>1028926.780625205</v>
      </c>
      <c r="J183" s="199">
        <f>((H125*(1-'5.Closing Stock &amp; W Capital'!$D$15))+(G125*'5.Closing Stock &amp; W Capital'!$D$15))*$C183*J$172</f>
        <v>1182295.1120768865</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111778.91999999998</v>
      </c>
      <c r="E185" s="199">
        <f>((C127*(1-'5.Closing Stock &amp; W Capital'!$D$15))+(B127*'5.Closing Stock &amp; W Capital'!$D$15))*$C185*E$172</f>
        <v>215174.421</v>
      </c>
      <c r="F185" s="199">
        <f>((D127*(1-'5.Closing Stock &amp; W Capital'!$D$15))+(C127*'5.Closing Stock &amp; W Capital'!$D$15))*$C185*F$172</f>
        <v>260165.43629999997</v>
      </c>
      <c r="G185" s="199">
        <f>((E127*(1-'5.Closing Stock &amp; W Capital'!$D$15))+(D127*'5.Closing Stock &amp; W Capital'!$D$15))*$C185*G$172</f>
        <v>309117.61707750004</v>
      </c>
      <c r="H185" s="199">
        <f>((F127*(1-'5.Closing Stock &amp; W Capital'!$D$15))+(E127*'5.Closing Stock &amp; W Capital'!$D$15))*$C185*H$172</f>
        <v>362314.602342</v>
      </c>
      <c r="I185" s="199">
        <f>((G127*(1-'5.Closing Stock &amp; W Capital'!$D$15))+(F127*'5.Closing Stock &amp; W Capital'!$D$15))*$C185*I$172</f>
        <v>420058.4920902563</v>
      </c>
      <c r="J185" s="199">
        <f>((H127*(1-'5.Closing Stock &amp; W Capital'!$D$15))+(G127*'5.Closing Stock &amp; W Capital'!$D$15))*$C185*J$172</f>
        <v>482670.98430748325</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325138.37399999989</v>
      </c>
      <c r="E187" s="199">
        <f>((C129*(1-'5.Closing Stock &amp; W Capital'!$D$15))+(B129*'5.Closing Stock &amp; W Capital'!$D$15))*$C187*E$172</f>
        <v>625891.36994999996</v>
      </c>
      <c r="F187" s="199">
        <f>((D129*(1-'5.Closing Stock &amp; W Capital'!$D$15))+(C129*'5.Closing Stock &amp; W Capital'!$D$15))*$C187*F$172</f>
        <v>756759.56548499991</v>
      </c>
      <c r="G187" s="199">
        <f>((E129*(1-'5.Closing Stock &amp; W Capital'!$D$15))+(D129*'5.Closing Stock &amp; W Capital'!$D$15))*$C187*G$172</f>
        <v>899149.85214862507</v>
      </c>
      <c r="H187" s="199">
        <f>((F129*(1-'5.Closing Stock &amp; W Capital'!$D$15))+(E129*'5.Closing Stock &amp; W Capital'!$D$15))*$C187*H$172</f>
        <v>1053887.2685648999</v>
      </c>
      <c r="I187" s="199">
        <f>((G129*(1-'5.Closing Stock &amp; W Capital'!$D$15))+(F129*'5.Closing Stock &amp; W Capital'!$D$15))*$C187*I$172</f>
        <v>1221850.5519924308</v>
      </c>
      <c r="J187" s="199">
        <f>((H129*(1-'5.Closing Stock &amp; W Capital'!$D$15))+(G129*'5.Closing Stock &amp; W Capital'!$D$15))*$C187*J$172</f>
        <v>1403975.4455913028</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t="str">
        <f t="shared" si="32"/>
        <v>Paddy</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57011.624999999993</v>
      </c>
      <c r="E200" s="199">
        <f t="shared" si="33"/>
        <v>69839.240624999991</v>
      </c>
      <c r="F200" s="199">
        <f t="shared" si="33"/>
        <v>83807.088749999981</v>
      </c>
      <c r="G200" s="199">
        <f t="shared" si="33"/>
        <v>98997.123585937457</v>
      </c>
      <c r="H200" s="199">
        <f t="shared" si="33"/>
        <v>115496.64418359374</v>
      </c>
      <c r="I200" s="199">
        <f t="shared" si="33"/>
        <v>133398.62403205078</v>
      </c>
      <c r="J200" s="199">
        <f t="shared" si="33"/>
        <v>152802.06025489455</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10669469.381999999</v>
      </c>
      <c r="E229" s="201">
        <f t="shared" si="37"/>
        <v>20498820.422850002</v>
      </c>
      <c r="F229" s="201">
        <f t="shared" si="37"/>
        <v>24784302.518167503</v>
      </c>
      <c r="G229" s="201">
        <f t="shared" si="37"/>
        <v>29447085.771959621</v>
      </c>
      <c r="H229" s="201">
        <f t="shared" si="37"/>
        <v>34514186.594835542</v>
      </c>
      <c r="I229" s="201">
        <f t="shared" si="37"/>
        <v>40014379.785569154</v>
      </c>
      <c r="J229" s="201">
        <f t="shared" si="37"/>
        <v>45978306.82888905</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3528359.9999999995</v>
      </c>
      <c r="E233" s="95">
        <f>C68*$C$233*E$172</f>
        <v>4322241</v>
      </c>
      <c r="F233" s="95">
        <f>D68*$C$233*F172</f>
        <v>5186689.2</v>
      </c>
      <c r="G233" s="95">
        <f>E68*$C$233*G172</f>
        <v>6126776.6175000006</v>
      </c>
      <c r="H233" s="95">
        <f>F68*$C$233*H172</f>
        <v>7147906.053749999</v>
      </c>
      <c r="I233" s="95">
        <f>G68*$C$233*I172</f>
        <v>8255831.492081251</v>
      </c>
      <c r="J233" s="95">
        <f>H68*$C$233*J172</f>
        <v>9456679.7091112509</v>
      </c>
      <c r="K233" s="93"/>
      <c r="L233" s="93"/>
    </row>
    <row r="234" spans="1:12">
      <c r="A234" s="94" t="str">
        <f t="shared" si="38"/>
        <v>Tur</v>
      </c>
      <c r="B234" s="94" t="s">
        <v>361</v>
      </c>
      <c r="C234" s="247">
        <v>4000</v>
      </c>
      <c r="D234" s="95">
        <f>B69*$C$234*D$172</f>
        <v>376200</v>
      </c>
      <c r="E234" s="95">
        <f t="shared" ref="E234:J234" si="39">C69*$C$234*E172</f>
        <v>460845</v>
      </c>
      <c r="F234" s="95">
        <f t="shared" si="39"/>
        <v>553013.99999999988</v>
      </c>
      <c r="G234" s="95">
        <f t="shared" si="39"/>
        <v>653247.78750000009</v>
      </c>
      <c r="H234" s="95">
        <f t="shared" si="39"/>
        <v>762122.41874999995</v>
      </c>
      <c r="I234" s="95">
        <f t="shared" si="39"/>
        <v>880251.39365624997</v>
      </c>
      <c r="J234" s="95">
        <f t="shared" si="39"/>
        <v>1008287.9600062503</v>
      </c>
      <c r="K234" s="93"/>
      <c r="L234" s="93"/>
    </row>
    <row r="235" spans="1:12">
      <c r="A235" s="94" t="str">
        <f t="shared" si="38"/>
        <v>Turmeric</v>
      </c>
      <c r="B235" s="94" t="s">
        <v>361</v>
      </c>
      <c r="C235" s="247">
        <v>6000</v>
      </c>
      <c r="D235" s="95">
        <f>B70*$C$235*D$172</f>
        <v>6174630</v>
      </c>
      <c r="E235" s="95">
        <f t="shared" ref="E235:J235" si="40">C70*$C$235*E172</f>
        <v>7563921.75</v>
      </c>
      <c r="F235" s="95">
        <f t="shared" si="40"/>
        <v>9076706.0999999978</v>
      </c>
      <c r="G235" s="95">
        <f t="shared" si="40"/>
        <v>10721859.080624999</v>
      </c>
      <c r="H235" s="95">
        <f t="shared" si="40"/>
        <v>12508835.5940625</v>
      </c>
      <c r="I235" s="95">
        <f t="shared" si="40"/>
        <v>14447705.111142188</v>
      </c>
      <c r="J235" s="95">
        <f t="shared" si="40"/>
        <v>16549189.490944693</v>
      </c>
      <c r="K235" s="93"/>
      <c r="L235" s="93"/>
    </row>
    <row r="236" spans="1:12">
      <c r="A236" s="94" t="str">
        <f t="shared" si="38"/>
        <v>Moong</v>
      </c>
      <c r="B236" s="94" t="s">
        <v>361</v>
      </c>
      <c r="C236" s="247">
        <v>2000</v>
      </c>
      <c r="D236" s="95">
        <f t="shared" ref="D236:J236" si="41">B71*$C$236*D$172</f>
        <v>137213.99999999997</v>
      </c>
      <c r="E236" s="95">
        <f t="shared" si="41"/>
        <v>168087.14999999997</v>
      </c>
      <c r="F236" s="95">
        <f t="shared" si="41"/>
        <v>201704.58</v>
      </c>
      <c r="G236" s="95">
        <f t="shared" si="41"/>
        <v>238263.53512499999</v>
      </c>
      <c r="H236" s="95">
        <f t="shared" si="41"/>
        <v>277974.1243125</v>
      </c>
      <c r="I236" s="95">
        <f t="shared" si="41"/>
        <v>321060.1135809375</v>
      </c>
      <c r="J236" s="95">
        <f t="shared" si="41"/>
        <v>367759.76646543754</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392040</v>
      </c>
      <c r="E238" s="95">
        <f t="shared" si="43"/>
        <v>480249</v>
      </c>
      <c r="F238" s="95">
        <f t="shared" si="43"/>
        <v>576298.79999999993</v>
      </c>
      <c r="G238" s="95">
        <f t="shared" si="43"/>
        <v>680752.9574999999</v>
      </c>
      <c r="H238" s="95">
        <f t="shared" si="43"/>
        <v>794211.78375000006</v>
      </c>
      <c r="I238" s="95">
        <f t="shared" si="43"/>
        <v>917314.61023124994</v>
      </c>
      <c r="J238" s="95">
        <f t="shared" si="43"/>
        <v>1050742.1899012502</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172853.99999999997</v>
      </c>
      <c r="E240" s="95">
        <f t="shared" si="45"/>
        <v>211746.15000000002</v>
      </c>
      <c r="F240" s="95">
        <f t="shared" si="45"/>
        <v>254095.38</v>
      </c>
      <c r="G240" s="95">
        <f t="shared" si="45"/>
        <v>300150.167625</v>
      </c>
      <c r="H240" s="95">
        <f t="shared" si="45"/>
        <v>350175.19556249998</v>
      </c>
      <c r="I240" s="95">
        <f t="shared" si="45"/>
        <v>404452.35087468755</v>
      </c>
      <c r="J240" s="95">
        <f t="shared" si="45"/>
        <v>463281.78372918756</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502791.29999999993</v>
      </c>
      <c r="E242" s="95">
        <f t="shared" si="47"/>
        <v>615919.34250000003</v>
      </c>
      <c r="F242" s="95">
        <f t="shared" si="47"/>
        <v>739103.21100000001</v>
      </c>
      <c r="G242" s="95">
        <f t="shared" si="47"/>
        <v>873065.66799375007</v>
      </c>
      <c r="H242" s="95">
        <f t="shared" si="47"/>
        <v>1018576.612659375</v>
      </c>
      <c r="I242" s="95">
        <f t="shared" si="47"/>
        <v>1176455.9876215782</v>
      </c>
      <c r="J242" s="95">
        <f t="shared" si="47"/>
        <v>1347576.8585483534</v>
      </c>
      <c r="K242" s="93"/>
      <c r="L242" s="93"/>
    </row>
    <row r="243" spans="1:12">
      <c r="A243" s="94" t="str">
        <f t="shared" si="38"/>
        <v>Channa</v>
      </c>
      <c r="B243" s="94" t="s">
        <v>361</v>
      </c>
      <c r="C243" s="247">
        <v>4000</v>
      </c>
      <c r="D243" s="95">
        <f t="shared" ref="D243:J243" si="48">B78*$C$243*D$172</f>
        <v>3160079.9999999991</v>
      </c>
      <c r="E243" s="95">
        <f t="shared" si="48"/>
        <v>3871097.9999999991</v>
      </c>
      <c r="F243" s="95">
        <f t="shared" si="48"/>
        <v>4645317.5999999987</v>
      </c>
      <c r="G243" s="95">
        <f t="shared" si="48"/>
        <v>5487281.4149999991</v>
      </c>
      <c r="H243" s="95">
        <f t="shared" si="48"/>
        <v>6401828.317499998</v>
      </c>
      <c r="I243" s="95">
        <f t="shared" si="48"/>
        <v>7394111.7067125011</v>
      </c>
      <c r="J243" s="95">
        <f t="shared" si="48"/>
        <v>8469618.8640525006</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t="str">
        <f t="shared" si="38"/>
        <v>Paddy</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1068.96796875</v>
      </c>
      <c r="E282" s="95">
        <f t="shared" si="64"/>
        <v>1309.4857617187499</v>
      </c>
      <c r="F282" s="95">
        <f t="shared" si="64"/>
        <v>1571.3829140624996</v>
      </c>
      <c r="G282" s="95">
        <f t="shared" si="64"/>
        <v>1856.1960672363275</v>
      </c>
      <c r="H282" s="95">
        <f t="shared" si="64"/>
        <v>2165.5620784423822</v>
      </c>
      <c r="I282" s="95">
        <f t="shared" si="64"/>
        <v>2501.2242006009524</v>
      </c>
      <c r="J282" s="95">
        <f t="shared" si="64"/>
        <v>2865.0386297792734</v>
      </c>
      <c r="K282" s="93"/>
      <c r="L282" s="93"/>
    </row>
    <row r="283" spans="1:12">
      <c r="A283" s="94" t="s">
        <v>143</v>
      </c>
      <c r="B283" s="94">
        <f>'2.Capex Details'!H61*0.746*8</f>
        <v>0</v>
      </c>
      <c r="C283" s="229">
        <v>6</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464</v>
      </c>
      <c r="B284" s="94"/>
      <c r="C284" s="229">
        <v>30</v>
      </c>
      <c r="D284" s="95">
        <f t="shared" ref="D284:J284" si="66">SUM(B120:B141)*$C$284*D172</f>
        <v>99542.297250000003</v>
      </c>
      <c r="E284" s="95">
        <f t="shared" si="66"/>
        <v>121939.31413124996</v>
      </c>
      <c r="F284" s="95">
        <f t="shared" si="66"/>
        <v>146327.17695749993</v>
      </c>
      <c r="G284" s="95">
        <f t="shared" si="66"/>
        <v>172848.97778104685</v>
      </c>
      <c r="H284" s="95">
        <f t="shared" si="66"/>
        <v>201657.14074455472</v>
      </c>
      <c r="I284" s="95">
        <f t="shared" si="66"/>
        <v>232913.99755996073</v>
      </c>
      <c r="J284" s="95">
        <f t="shared" si="66"/>
        <v>266792.39720504597</v>
      </c>
      <c r="K284" s="93"/>
      <c r="L284" s="93"/>
    </row>
    <row r="285" spans="1:12">
      <c r="A285" s="94" t="s">
        <v>463</v>
      </c>
      <c r="B285" s="94"/>
      <c r="C285" s="229">
        <v>30</v>
      </c>
      <c r="D285" s="95">
        <f t="shared" ref="D285:J285" si="67">SUM(B120:B141)*$C$285*D172</f>
        <v>99542.297250000003</v>
      </c>
      <c r="E285" s="95">
        <f t="shared" si="67"/>
        <v>121939.31413124996</v>
      </c>
      <c r="F285" s="95">
        <f t="shared" si="67"/>
        <v>146327.17695749993</v>
      </c>
      <c r="G285" s="95">
        <f t="shared" si="67"/>
        <v>172848.97778104685</v>
      </c>
      <c r="H285" s="95">
        <f t="shared" si="67"/>
        <v>201657.14074455472</v>
      </c>
      <c r="I285" s="95">
        <f t="shared" si="67"/>
        <v>232913.99755996073</v>
      </c>
      <c r="J285" s="95">
        <f t="shared" si="67"/>
        <v>266792.39720504597</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5817912.2260875013</v>
      </c>
      <c r="F289" s="199">
        <f>'5.Closing Stock &amp; W Capital'!G6</f>
        <v>7126942.4769571861</v>
      </c>
      <c r="G289" s="199">
        <f>'5.Closing Stock &amp; W Capital'!H6</f>
        <v>8552330.972348623</v>
      </c>
      <c r="H289" s="199">
        <f>'5.Closing Stock &amp; W Capital'!I6</f>
        <v>10102440.961086811</v>
      </c>
      <c r="I289" s="199">
        <f>'5.Closing Stock &amp; W Capital'!J6</f>
        <v>11786181.121267952</v>
      </c>
      <c r="J289" s="199">
        <f>'5.Closing Stock &amp; W Capital'!K6</f>
        <v>13613039.195064483</v>
      </c>
      <c r="K289" s="93"/>
      <c r="L289" s="93"/>
    </row>
    <row r="290" spans="1:20">
      <c r="A290" s="98" t="s">
        <v>342</v>
      </c>
      <c r="B290" s="94"/>
      <c r="C290" s="199"/>
      <c r="D290" s="199">
        <f>'5.Closing Stock &amp; W Capital'!E15</f>
        <v>5817912.2260875013</v>
      </c>
      <c r="E290" s="199">
        <f>'5.Closing Stock &amp; W Capital'!F15</f>
        <v>7126942.4769571861</v>
      </c>
      <c r="F290" s="199">
        <f>'5.Closing Stock &amp; W Capital'!G15</f>
        <v>8552330.972348623</v>
      </c>
      <c r="G290" s="199">
        <f>'5.Closing Stock &amp; W Capital'!H15</f>
        <v>10102440.961086811</v>
      </c>
      <c r="H290" s="199">
        <f>'5.Closing Stock &amp; W Capital'!I15</f>
        <v>11786181.121267952</v>
      </c>
      <c r="I290" s="199">
        <f>'5.Closing Stock &amp; W Capital'!J15</f>
        <v>13613039.195064483</v>
      </c>
      <c r="J290" s="199">
        <f>'5.Closing Stock &amp; W Capital'!K15</f>
        <v>15593117.623437501</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8826410.6363812517</v>
      </c>
      <c r="E292" s="114">
        <f t="shared" si="68"/>
        <v>16630265.255654529</v>
      </c>
      <c r="F292" s="114">
        <f t="shared" si="68"/>
        <v>20101766.112437621</v>
      </c>
      <c r="G292" s="114">
        <f t="shared" si="68"/>
        <v>23878841.391759887</v>
      </c>
      <c r="H292" s="114">
        <f t="shared" si="68"/>
        <v>27983369.783733293</v>
      </c>
      <c r="I292" s="114">
        <f t="shared" si="68"/>
        <v>32438653.911424629</v>
      </c>
      <c r="J292" s="114">
        <f t="shared" si="68"/>
        <v>37269508.027425781</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698</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10626410.636381252</v>
      </c>
      <c r="E302" s="114">
        <f t="shared" si="71"/>
        <v>18520265.255654529</v>
      </c>
      <c r="F302" s="114">
        <f t="shared" si="71"/>
        <v>22086266.112437621</v>
      </c>
      <c r="G302" s="114">
        <f t="shared" si="71"/>
        <v>25962566.391759887</v>
      </c>
      <c r="H302" s="114">
        <f t="shared" si="71"/>
        <v>30171281.033733293</v>
      </c>
      <c r="I302" s="114">
        <f t="shared" si="71"/>
        <v>34735960.723924629</v>
      </c>
      <c r="J302" s="114">
        <f t="shared" si="71"/>
        <v>39681680.180550784</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43058.745618747547</v>
      </c>
      <c r="E305" s="114">
        <f t="shared" si="72"/>
        <v>1978555.1671954729</v>
      </c>
      <c r="F305" s="114">
        <f t="shared" si="72"/>
        <v>2698036.4057298824</v>
      </c>
      <c r="G305" s="114">
        <f t="shared" si="72"/>
        <v>3484519.3801997341</v>
      </c>
      <c r="H305" s="114">
        <f t="shared" si="72"/>
        <v>4342905.5611022487</v>
      </c>
      <c r="I305" s="114">
        <f t="shared" si="72"/>
        <v>5278419.0616445243</v>
      </c>
      <c r="J305" s="114">
        <f t="shared" si="72"/>
        <v>6296626.6483382657</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3" t="s">
        <v>422</v>
      </c>
      <c r="B308" s="413"/>
      <c r="C308" s="413"/>
      <c r="D308" s="413"/>
      <c r="E308" s="413"/>
      <c r="F308" s="413"/>
      <c r="G308" s="413"/>
      <c r="H308" s="413"/>
      <c r="I308" s="413"/>
      <c r="J308" s="413"/>
    </row>
    <row r="310" spans="1:20">
      <c r="A310" t="s">
        <v>536</v>
      </c>
    </row>
    <row r="311" spans="1:20">
      <c r="A311">
        <v>1</v>
      </c>
      <c r="B311" t="s">
        <v>547</v>
      </c>
    </row>
    <row r="312" spans="1:20">
      <c r="A312">
        <v>2</v>
      </c>
      <c r="B312" t="s">
        <v>548</v>
      </c>
    </row>
    <row r="313" spans="1:20">
      <c r="A313">
        <v>3</v>
      </c>
      <c r="B313" s="93" t="s">
        <v>588</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2" t="s">
        <v>688</v>
      </c>
      <c r="B3" s="412"/>
      <c r="C3" s="412"/>
      <c r="D3" s="412"/>
      <c r="E3" s="412"/>
      <c r="F3" s="412"/>
      <c r="G3" s="412"/>
      <c r="H3" s="412"/>
    </row>
    <row r="4" spans="1:8" ht="18.75">
      <c r="A4" s="412" t="s">
        <v>574</v>
      </c>
      <c r="B4" s="412"/>
      <c r="C4" s="412"/>
      <c r="D4" s="412"/>
      <c r="E4" s="412"/>
      <c r="F4" s="412"/>
      <c r="G4" s="412"/>
      <c r="H4" s="412"/>
    </row>
    <row r="5" spans="1:8">
      <c r="A5" s="93" t="s">
        <v>159</v>
      </c>
      <c r="B5" s="240">
        <f>10000/100</f>
        <v>100</v>
      </c>
      <c r="C5" s="93" t="s">
        <v>474</v>
      </c>
      <c r="D5" s="93" t="s">
        <v>712</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1.7629218750000002</v>
      </c>
      <c r="C12" s="301">
        <f t="shared" ref="C12:H12" si="0">C32/($B$5*$B$6)</f>
        <v>2.6443828125</v>
      </c>
      <c r="D12" s="301">
        <f t="shared" si="0"/>
        <v>3.5258437500000004</v>
      </c>
      <c r="E12" s="301">
        <f t="shared" si="0"/>
        <v>4.4073046874999999</v>
      </c>
      <c r="F12" s="301">
        <f t="shared" si="0"/>
        <v>5.288765624999999</v>
      </c>
      <c r="G12" s="301">
        <f t="shared" si="0"/>
        <v>6.1702265624999981</v>
      </c>
      <c r="H12" s="301">
        <f t="shared" si="0"/>
        <v>7.0516874999999981</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52.25</v>
      </c>
      <c r="C14" s="94">
        <f>'10.Grain Production details'!C68</f>
        <v>78.375000000000014</v>
      </c>
      <c r="D14" s="94">
        <f>'10.Grain Production details'!D68</f>
        <v>104.5</v>
      </c>
      <c r="E14" s="94">
        <f>'10.Grain Production details'!E68</f>
        <v>130.625</v>
      </c>
      <c r="F14" s="94">
        <f>'10.Grain Production details'!F68</f>
        <v>156.75</v>
      </c>
      <c r="G14" s="94">
        <f>'10.Grain Production details'!G68</f>
        <v>182.875</v>
      </c>
      <c r="H14" s="94">
        <f>'10.Grain Production details'!H68</f>
        <v>208.99999999999997</v>
      </c>
    </row>
    <row r="15" spans="1:8">
      <c r="A15" s="94" t="str">
        <f>'10.Grain Production details'!A69</f>
        <v>Turmeric</v>
      </c>
      <c r="B15" s="94">
        <f>'10.Grain Production details'!B69</f>
        <v>571.72500000000002</v>
      </c>
      <c r="C15" s="94">
        <f>'10.Grain Production details'!C69</f>
        <v>857.58750000000009</v>
      </c>
      <c r="D15" s="94">
        <f>'10.Grain Production details'!D69</f>
        <v>1143.45</v>
      </c>
      <c r="E15" s="94">
        <f>'10.Grain Production details'!E69</f>
        <v>1429.3125</v>
      </c>
      <c r="F15" s="94">
        <f>'10.Grain Production details'!F69</f>
        <v>1715.175</v>
      </c>
      <c r="G15" s="94">
        <f>'10.Grain Production details'!G69</f>
        <v>2001.0374999999999</v>
      </c>
      <c r="H15" s="94">
        <f>'10.Grain Production details'!H69</f>
        <v>2286.8999999999996</v>
      </c>
    </row>
    <row r="16" spans="1:8">
      <c r="A16" s="94" t="str">
        <f>'10.Grain Production details'!A70</f>
        <v>Moong</v>
      </c>
      <c r="B16" s="94">
        <f>'10.Grain Production details'!B70</f>
        <v>38.115000000000002</v>
      </c>
      <c r="C16" s="94">
        <f>'10.Grain Production details'!C70</f>
        <v>57.172500000000007</v>
      </c>
      <c r="D16" s="94">
        <f>'10.Grain Production details'!D70</f>
        <v>76.23</v>
      </c>
      <c r="E16" s="94">
        <f>'10.Grain Production details'!E70</f>
        <v>95.287499999999994</v>
      </c>
      <c r="F16" s="94">
        <f>'10.Grain Production details'!F70</f>
        <v>114.34499999999998</v>
      </c>
      <c r="G16" s="94">
        <f>'10.Grain Production details'!G70</f>
        <v>133.40249999999997</v>
      </c>
      <c r="H16" s="94">
        <f>'10.Grain Production details'!H70</f>
        <v>152.45999999999998</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43.56</v>
      </c>
      <c r="C18" s="94">
        <f>'10.Grain Production details'!C72</f>
        <v>65.340000000000018</v>
      </c>
      <c r="D18" s="94">
        <f>'10.Grain Production details'!D72</f>
        <v>87.120000000000019</v>
      </c>
      <c r="E18" s="94">
        <f>'10.Grain Production details'!E72</f>
        <v>108.90000000000002</v>
      </c>
      <c r="F18" s="94">
        <f>'10.Grain Production details'!F72</f>
        <v>130.68</v>
      </c>
      <c r="G18" s="94">
        <f>'10.Grain Production details'!G72</f>
        <v>152.46</v>
      </c>
      <c r="H18" s="94">
        <f>'10.Grain Production details'!H72</f>
        <v>174.23999999999998</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53.35</v>
      </c>
      <c r="C20" s="94">
        <f>'10.Grain Production details'!C74</f>
        <v>80.025000000000006</v>
      </c>
      <c r="D20" s="94">
        <f>'10.Grain Production details'!D74</f>
        <v>106.7</v>
      </c>
      <c r="E20" s="94">
        <f>'10.Grain Production details'!E74</f>
        <v>133.375</v>
      </c>
      <c r="F20" s="94">
        <f>'10.Grain Production details'!F74</f>
        <v>160.04999999999998</v>
      </c>
      <c r="G20" s="94">
        <f>'10.Grain Production details'!G74</f>
        <v>186.72499999999999</v>
      </c>
      <c r="H20" s="94">
        <f>'10.Grain Production details'!H74</f>
        <v>213.39999999999998</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141.07500000000002</v>
      </c>
      <c r="C22" s="94">
        <f>'10.Grain Production details'!C76</f>
        <v>211.61250000000004</v>
      </c>
      <c r="D22" s="94">
        <f>'10.Grain Production details'!D76</f>
        <v>282.15000000000003</v>
      </c>
      <c r="E22" s="94">
        <f>'10.Grain Production details'!E76</f>
        <v>352.6875</v>
      </c>
      <c r="F22" s="94">
        <f>'10.Grain Production details'!F76</f>
        <v>423.22499999999997</v>
      </c>
      <c r="G22" s="94">
        <f>'10.Grain Production details'!G76</f>
        <v>493.76249999999999</v>
      </c>
      <c r="H22" s="94">
        <f>'10.Grain Production details'!H76</f>
        <v>564.29999999999995</v>
      </c>
    </row>
    <row r="23" spans="1:8">
      <c r="A23" s="94" t="str">
        <f>'10.Grain Production details'!A77</f>
        <v>Channa</v>
      </c>
      <c r="B23" s="94">
        <f>'10.Grain Production details'!B77</f>
        <v>438.89999999999992</v>
      </c>
      <c r="C23" s="94">
        <f>'10.Grain Production details'!C77</f>
        <v>658.34999999999991</v>
      </c>
      <c r="D23" s="94">
        <f>'10.Grain Production details'!D77</f>
        <v>877.79999999999984</v>
      </c>
      <c r="E23" s="94">
        <f>'10.Grain Production details'!E77</f>
        <v>1097.2499999999998</v>
      </c>
      <c r="F23" s="94">
        <f>'10.Grain Production details'!F77</f>
        <v>1316.6999999999996</v>
      </c>
      <c r="G23" s="94">
        <f>'10.Grain Production details'!G77</f>
        <v>1536.1499999999996</v>
      </c>
      <c r="H23" s="94">
        <f>'10.Grain Production details'!H77</f>
        <v>1755.5999999999995</v>
      </c>
    </row>
    <row r="24" spans="1:8">
      <c r="A24" s="94" t="str">
        <f>'10.Grain Production details'!A78</f>
        <v>Jawar</v>
      </c>
      <c r="B24" s="94">
        <f>'10.Grain Production details'!B78</f>
        <v>51.216000000000001</v>
      </c>
      <c r="C24" s="94">
        <f>'10.Grain Production details'!C78</f>
        <v>76.824000000000012</v>
      </c>
      <c r="D24" s="94">
        <f>'10.Grain Production details'!D78</f>
        <v>102.432</v>
      </c>
      <c r="E24" s="94">
        <f>'10.Grain Production details'!E78</f>
        <v>128.04</v>
      </c>
      <c r="F24" s="94">
        <f>'10.Grain Production details'!F78</f>
        <v>153.648</v>
      </c>
      <c r="G24" s="94">
        <f>'10.Grain Production details'!G78</f>
        <v>179.25599999999997</v>
      </c>
      <c r="H24" s="94">
        <f>'10.Grain Production details'!H78</f>
        <v>204.86399999999998</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16.335000000000001</v>
      </c>
      <c r="C27" s="94">
        <f>'10.Grain Production details'!C81</f>
        <v>24.502500000000001</v>
      </c>
      <c r="D27" s="94">
        <f>'10.Grain Production details'!D81</f>
        <v>32.67</v>
      </c>
      <c r="E27" s="94">
        <f>'10.Grain Production details'!E81</f>
        <v>40.837499999999999</v>
      </c>
      <c r="F27" s="94">
        <f>'10.Grain Production details'!F81</f>
        <v>49.004999999999995</v>
      </c>
      <c r="G27" s="94">
        <f>'10.Grain Production details'!G81</f>
        <v>57.172499999999992</v>
      </c>
      <c r="H27" s="94">
        <f>'10.Grain Production details'!H81</f>
        <v>65.339999999999989</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2.1780000000000004</v>
      </c>
      <c r="C30" s="94">
        <f>'10.Grain Production details'!C84</f>
        <v>3.2670000000000008</v>
      </c>
      <c r="D30" s="94">
        <f>'10.Grain Production details'!D84</f>
        <v>4.3560000000000008</v>
      </c>
      <c r="E30" s="94">
        <f>'10.Grain Production details'!E84</f>
        <v>5.4450000000000003</v>
      </c>
      <c r="F30" s="94">
        <f>'10.Grain Production details'!F84</f>
        <v>6.5339999999999998</v>
      </c>
      <c r="G30" s="94">
        <f>'10.Grain Production details'!G84</f>
        <v>7.6230000000000002</v>
      </c>
      <c r="H30" s="94">
        <f>'10.Grain Production details'!H84</f>
        <v>8.7119999999999997</v>
      </c>
    </row>
    <row r="31" spans="1:8">
      <c r="A31" s="94" t="str">
        <f>'10.Grain Production details'!A85</f>
        <v>Paddy</v>
      </c>
      <c r="B31" s="94">
        <f>'10.Grain Production details'!B85</f>
        <v>1.6335000000000002</v>
      </c>
      <c r="C31" s="94">
        <f>'10.Grain Production details'!C85</f>
        <v>2.4502500000000005</v>
      </c>
      <c r="D31" s="94">
        <f>'10.Grain Production details'!D85</f>
        <v>3.2670000000000003</v>
      </c>
      <c r="E31" s="94">
        <f>'10.Grain Production details'!E85</f>
        <v>4.0837500000000002</v>
      </c>
      <c r="F31" s="94">
        <f>'10.Grain Production details'!F85</f>
        <v>4.9005000000000001</v>
      </c>
      <c r="G31" s="94">
        <f>'10.Grain Production details'!G85</f>
        <v>5.7172499999999999</v>
      </c>
      <c r="H31" s="94">
        <f>'10.Grain Production details'!H85</f>
        <v>6.5339999999999998</v>
      </c>
    </row>
    <row r="32" spans="1:8">
      <c r="A32" s="94" t="s">
        <v>465</v>
      </c>
      <c r="B32" s="94">
        <f>SUM(B13:B31)</f>
        <v>1410.3375000000001</v>
      </c>
      <c r="C32" s="94">
        <f t="shared" ref="C32:H32" si="1">SUM(C13:C31)</f>
        <v>2115.5062499999999</v>
      </c>
      <c r="D32" s="94">
        <f t="shared" si="1"/>
        <v>2820.6750000000002</v>
      </c>
      <c r="E32" s="94">
        <f t="shared" si="1"/>
        <v>3525.84375</v>
      </c>
      <c r="F32" s="94">
        <f t="shared" si="1"/>
        <v>4231.0124999999989</v>
      </c>
      <c r="G32" s="94">
        <f t="shared" si="1"/>
        <v>4936.1812499999987</v>
      </c>
      <c r="H32" s="94">
        <f t="shared" si="1"/>
        <v>5641.3499999999985</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475</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141.03375000000003</v>
      </c>
      <c r="C35" s="250">
        <f t="shared" ref="C35:H35" si="4">C32*C33</f>
        <v>211.550625</v>
      </c>
      <c r="D35" s="250">
        <f t="shared" si="4"/>
        <v>282.06750000000005</v>
      </c>
      <c r="E35" s="250">
        <f t="shared" si="4"/>
        <v>352.58437500000002</v>
      </c>
      <c r="F35" s="250">
        <f t="shared" si="4"/>
        <v>423.10124999999994</v>
      </c>
      <c r="G35" s="250">
        <f t="shared" si="4"/>
        <v>493.61812499999991</v>
      </c>
      <c r="H35" s="250">
        <f t="shared" si="4"/>
        <v>564.13499999999988</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47.024999999999999</v>
      </c>
      <c r="C38" s="95">
        <f t="shared" ref="C38:C55" si="8">C14*$C$34</f>
        <v>70.537500000000009</v>
      </c>
      <c r="D38" s="95">
        <f t="shared" ref="D38:D55" si="9">D14*$D$34</f>
        <v>94.05</v>
      </c>
      <c r="E38" s="95">
        <f t="shared" ref="E38:E55" si="10">E14*$E$34</f>
        <v>117.5625</v>
      </c>
      <c r="F38" s="95">
        <f t="shared" ref="F38:F55" si="11">F14*$F$34</f>
        <v>141.07500000000002</v>
      </c>
      <c r="G38" s="95">
        <f t="shared" ref="G38:G55" si="12">G14*$G$34</f>
        <v>164.58750000000001</v>
      </c>
      <c r="H38" s="95">
        <f t="shared" ref="H38:H55" si="13">H14*$H$34</f>
        <v>188.09999999999997</v>
      </c>
    </row>
    <row r="39" spans="1:8">
      <c r="A39" s="94" t="str">
        <f t="shared" si="5"/>
        <v>Turmeric</v>
      </c>
      <c r="B39" s="95">
        <f t="shared" si="6"/>
        <v>514.55250000000001</v>
      </c>
      <c r="C39" s="95">
        <f t="shared" si="8"/>
        <v>771.82875000000013</v>
      </c>
      <c r="D39" s="95">
        <f t="shared" si="9"/>
        <v>1029.105</v>
      </c>
      <c r="E39" s="95">
        <f t="shared" si="10"/>
        <v>1286.3812500000001</v>
      </c>
      <c r="F39" s="95">
        <f t="shared" si="11"/>
        <v>1543.6575</v>
      </c>
      <c r="G39" s="95">
        <f t="shared" si="12"/>
        <v>1800.9337499999999</v>
      </c>
      <c r="H39" s="95">
        <f t="shared" si="13"/>
        <v>2058.2099999999996</v>
      </c>
    </row>
    <row r="40" spans="1:8">
      <c r="A40" s="94" t="str">
        <f t="shared" si="5"/>
        <v>Moong</v>
      </c>
      <c r="B40" s="95">
        <f t="shared" si="6"/>
        <v>34.3035</v>
      </c>
      <c r="C40" s="95">
        <f t="shared" si="8"/>
        <v>51.455250000000007</v>
      </c>
      <c r="D40" s="95">
        <f t="shared" si="9"/>
        <v>68.606999999999999</v>
      </c>
      <c r="E40" s="95">
        <f t="shared" si="10"/>
        <v>85.758749999999992</v>
      </c>
      <c r="F40" s="95">
        <f t="shared" si="11"/>
        <v>102.91049999999998</v>
      </c>
      <c r="G40" s="95">
        <f t="shared" si="12"/>
        <v>120.06224999999998</v>
      </c>
      <c r="H40" s="95">
        <f t="shared" si="13"/>
        <v>137.214</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39.204000000000001</v>
      </c>
      <c r="C42" s="95">
        <f t="shared" si="8"/>
        <v>58.806000000000019</v>
      </c>
      <c r="D42" s="95">
        <f t="shared" si="9"/>
        <v>78.408000000000015</v>
      </c>
      <c r="E42" s="95">
        <f t="shared" si="10"/>
        <v>98.010000000000019</v>
      </c>
      <c r="F42" s="95">
        <f t="shared" si="11"/>
        <v>117.61200000000001</v>
      </c>
      <c r="G42" s="95">
        <f t="shared" si="12"/>
        <v>137.214</v>
      </c>
      <c r="H42" s="95">
        <f t="shared" si="13"/>
        <v>156.81599999999997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48.015000000000001</v>
      </c>
      <c r="C44" s="95">
        <f t="shared" si="8"/>
        <v>72.022500000000008</v>
      </c>
      <c r="D44" s="95">
        <f t="shared" si="9"/>
        <v>96.03</v>
      </c>
      <c r="E44" s="95">
        <f t="shared" si="10"/>
        <v>120.03750000000001</v>
      </c>
      <c r="F44" s="95">
        <f t="shared" si="11"/>
        <v>144.04499999999999</v>
      </c>
      <c r="G44" s="95">
        <f t="shared" si="12"/>
        <v>168.05250000000001</v>
      </c>
      <c r="H44" s="95">
        <f t="shared" si="13"/>
        <v>192.05999999999997</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126.96750000000002</v>
      </c>
      <c r="C46" s="95">
        <f t="shared" si="8"/>
        <v>190.45125000000004</v>
      </c>
      <c r="D46" s="95">
        <f t="shared" si="9"/>
        <v>253.93500000000003</v>
      </c>
      <c r="E46" s="95">
        <f t="shared" si="10"/>
        <v>317.41874999999999</v>
      </c>
      <c r="F46" s="95">
        <f t="shared" si="11"/>
        <v>380.90249999999997</v>
      </c>
      <c r="G46" s="95">
        <f t="shared" si="12"/>
        <v>444.38625000000002</v>
      </c>
      <c r="H46" s="95">
        <f t="shared" si="13"/>
        <v>507.86999999999995</v>
      </c>
    </row>
    <row r="47" spans="1:8">
      <c r="A47" s="94" t="str">
        <f t="shared" si="5"/>
        <v>Channa</v>
      </c>
      <c r="B47" s="95">
        <f t="shared" si="6"/>
        <v>395.00999999999993</v>
      </c>
      <c r="C47" s="95">
        <f t="shared" si="8"/>
        <v>592.51499999999999</v>
      </c>
      <c r="D47" s="95">
        <f t="shared" si="9"/>
        <v>790.01999999999987</v>
      </c>
      <c r="E47" s="95">
        <f t="shared" si="10"/>
        <v>987.52499999999986</v>
      </c>
      <c r="F47" s="95">
        <f t="shared" si="11"/>
        <v>1185.0299999999997</v>
      </c>
      <c r="G47" s="95">
        <f t="shared" si="12"/>
        <v>1382.5349999999996</v>
      </c>
      <c r="H47" s="95">
        <f t="shared" si="13"/>
        <v>1580.0399999999995</v>
      </c>
    </row>
    <row r="48" spans="1:8">
      <c r="A48" s="94" t="str">
        <f t="shared" si="5"/>
        <v>Jawar</v>
      </c>
      <c r="B48" s="95">
        <f t="shared" si="6"/>
        <v>46.0944</v>
      </c>
      <c r="C48" s="95">
        <f t="shared" si="8"/>
        <v>69.141600000000011</v>
      </c>
      <c r="D48" s="95">
        <f t="shared" si="9"/>
        <v>92.188800000000001</v>
      </c>
      <c r="E48" s="95">
        <f t="shared" si="10"/>
        <v>115.23599999999999</v>
      </c>
      <c r="F48" s="95">
        <f t="shared" si="11"/>
        <v>138.28319999999999</v>
      </c>
      <c r="G48" s="95">
        <f t="shared" si="12"/>
        <v>161.33039999999997</v>
      </c>
      <c r="H48" s="95">
        <f t="shared" si="13"/>
        <v>184.37759999999997</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14.701500000000001</v>
      </c>
      <c r="C51" s="95">
        <f t="shared" si="8"/>
        <v>22.052250000000001</v>
      </c>
      <c r="D51" s="95">
        <f t="shared" si="9"/>
        <v>29.403000000000002</v>
      </c>
      <c r="E51" s="95">
        <f t="shared" si="10"/>
        <v>36.753749999999997</v>
      </c>
      <c r="F51" s="95">
        <f t="shared" si="11"/>
        <v>44.104499999999994</v>
      </c>
      <c r="G51" s="95">
        <f t="shared" si="12"/>
        <v>51.455249999999992</v>
      </c>
      <c r="H51" s="95">
        <f t="shared" si="13"/>
        <v>58.80599999999999</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1.9602000000000004</v>
      </c>
      <c r="C54" s="95">
        <f t="shared" si="8"/>
        <v>2.9403000000000006</v>
      </c>
      <c r="D54" s="95">
        <f t="shared" si="9"/>
        <v>3.9204000000000008</v>
      </c>
      <c r="E54" s="95">
        <f t="shared" si="10"/>
        <v>4.9005000000000001</v>
      </c>
      <c r="F54" s="95">
        <f t="shared" si="11"/>
        <v>5.8806000000000003</v>
      </c>
      <c r="G54" s="95">
        <f t="shared" si="12"/>
        <v>6.8607000000000005</v>
      </c>
      <c r="H54" s="95">
        <f t="shared" si="13"/>
        <v>7.8407999999999998</v>
      </c>
    </row>
    <row r="55" spans="1:8">
      <c r="A55" s="94" t="str">
        <f t="shared" si="5"/>
        <v>Paddy</v>
      </c>
      <c r="B55" s="95">
        <f t="shared" si="6"/>
        <v>1.4701500000000003</v>
      </c>
      <c r="C55" s="95">
        <f t="shared" si="8"/>
        <v>2.2052250000000004</v>
      </c>
      <c r="D55" s="95">
        <f t="shared" si="9"/>
        <v>2.9403000000000006</v>
      </c>
      <c r="E55" s="95">
        <f t="shared" si="10"/>
        <v>3.6753750000000003</v>
      </c>
      <c r="F55" s="95">
        <f t="shared" si="11"/>
        <v>4.41045</v>
      </c>
      <c r="G55" s="95">
        <f t="shared" si="12"/>
        <v>5.1455250000000001</v>
      </c>
      <c r="H55" s="95">
        <f t="shared" si="13"/>
        <v>5.8806000000000003</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466</v>
      </c>
      <c r="B63" s="190">
        <f>B38*80%</f>
        <v>37.619999999999997</v>
      </c>
      <c r="C63" s="190">
        <f t="shared" ref="C63:H63" si="14">C38*80%</f>
        <v>56.430000000000007</v>
      </c>
      <c r="D63" s="190">
        <f t="shared" si="14"/>
        <v>75.239999999999995</v>
      </c>
      <c r="E63" s="190">
        <f t="shared" si="14"/>
        <v>94.050000000000011</v>
      </c>
      <c r="F63" s="190">
        <f t="shared" si="14"/>
        <v>112.86000000000001</v>
      </c>
      <c r="G63" s="190">
        <f t="shared" si="14"/>
        <v>131.67000000000002</v>
      </c>
      <c r="H63" s="190">
        <f t="shared" si="14"/>
        <v>150.47999999999999</v>
      </c>
    </row>
    <row r="64" spans="1:8">
      <c r="A64" s="94" t="s">
        <v>140</v>
      </c>
      <c r="B64" s="190">
        <f>B38*20%</f>
        <v>9.4049999999999994</v>
      </c>
      <c r="C64" s="190">
        <f t="shared" ref="C64:H64" si="15">C38*20%</f>
        <v>14.107500000000002</v>
      </c>
      <c r="D64" s="190">
        <f t="shared" si="15"/>
        <v>18.809999999999999</v>
      </c>
      <c r="E64" s="190">
        <f t="shared" si="15"/>
        <v>23.512500000000003</v>
      </c>
      <c r="F64" s="190">
        <f t="shared" si="15"/>
        <v>28.215000000000003</v>
      </c>
      <c r="G64" s="190">
        <f t="shared" si="15"/>
        <v>32.917500000000004</v>
      </c>
      <c r="H64" s="190">
        <f t="shared" si="15"/>
        <v>37.619999999999997</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466</v>
      </c>
      <c r="B70" s="95">
        <f>B40*80%</f>
        <v>27.442800000000002</v>
      </c>
      <c r="C70" s="95">
        <f t="shared" ref="C70:H70" si="16">C40*80%</f>
        <v>41.164200000000008</v>
      </c>
      <c r="D70" s="95">
        <f t="shared" si="16"/>
        <v>54.885600000000004</v>
      </c>
      <c r="E70" s="95">
        <f t="shared" si="16"/>
        <v>68.606999999999999</v>
      </c>
      <c r="F70" s="95">
        <f t="shared" si="16"/>
        <v>82.328399999999988</v>
      </c>
      <c r="G70" s="95">
        <f t="shared" si="16"/>
        <v>96.049799999999991</v>
      </c>
      <c r="H70" s="95">
        <f t="shared" si="16"/>
        <v>109.77120000000001</v>
      </c>
    </row>
    <row r="71" spans="1:8">
      <c r="A71" s="94" t="s">
        <v>140</v>
      </c>
      <c r="B71" s="95">
        <f>B40*20%</f>
        <v>6.8607000000000005</v>
      </c>
      <c r="C71" s="95">
        <f t="shared" ref="C71:H71" si="17">C40*20%</f>
        <v>10.291050000000002</v>
      </c>
      <c r="D71" s="95">
        <f t="shared" si="17"/>
        <v>13.721400000000001</v>
      </c>
      <c r="E71" s="95">
        <f t="shared" si="17"/>
        <v>17.15175</v>
      </c>
      <c r="F71" s="95">
        <f t="shared" si="17"/>
        <v>20.582099999999997</v>
      </c>
      <c r="G71" s="95">
        <f t="shared" si="17"/>
        <v>24.012449999999998</v>
      </c>
      <c r="H71" s="95">
        <f t="shared" si="17"/>
        <v>27.442800000000002</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466</v>
      </c>
      <c r="B78" s="95">
        <f t="shared" ref="B78:H78" si="18">B42*80%</f>
        <v>31.363200000000003</v>
      </c>
      <c r="C78" s="95">
        <f t="shared" si="18"/>
        <v>47.044800000000016</v>
      </c>
      <c r="D78" s="95">
        <f t="shared" si="18"/>
        <v>62.726400000000012</v>
      </c>
      <c r="E78" s="95">
        <f t="shared" si="18"/>
        <v>78.408000000000015</v>
      </c>
      <c r="F78" s="95">
        <f t="shared" si="18"/>
        <v>94.089600000000019</v>
      </c>
      <c r="G78" s="95">
        <f t="shared" si="18"/>
        <v>109.77120000000001</v>
      </c>
      <c r="H78" s="95">
        <f t="shared" si="18"/>
        <v>125.45279999999998</v>
      </c>
    </row>
    <row r="79" spans="1:8">
      <c r="A79" s="94" t="s">
        <v>140</v>
      </c>
      <c r="B79" s="95">
        <f t="shared" ref="B79:H79" si="19">B42*20%</f>
        <v>7.8408000000000007</v>
      </c>
      <c r="C79" s="95">
        <f t="shared" si="19"/>
        <v>11.761200000000004</v>
      </c>
      <c r="D79" s="95">
        <f t="shared" si="19"/>
        <v>15.681600000000003</v>
      </c>
      <c r="E79" s="95">
        <f t="shared" si="19"/>
        <v>19.602000000000004</v>
      </c>
      <c r="F79" s="95">
        <f t="shared" si="19"/>
        <v>23.522400000000005</v>
      </c>
      <c r="G79" s="95">
        <f t="shared" si="19"/>
        <v>27.442800000000002</v>
      </c>
      <c r="H79" s="95">
        <f t="shared" si="19"/>
        <v>31.363199999999996</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466</v>
      </c>
      <c r="B95" s="95">
        <f t="shared" ref="B95:H95" si="20">B47*80%</f>
        <v>316.00799999999998</v>
      </c>
      <c r="C95" s="95">
        <f t="shared" si="20"/>
        <v>474.012</v>
      </c>
      <c r="D95" s="95">
        <f t="shared" si="20"/>
        <v>632.01599999999996</v>
      </c>
      <c r="E95" s="95">
        <f t="shared" si="20"/>
        <v>790.02</v>
      </c>
      <c r="F95" s="95">
        <f t="shared" si="20"/>
        <v>948.02399999999989</v>
      </c>
      <c r="G95" s="95">
        <f t="shared" si="20"/>
        <v>1106.0279999999998</v>
      </c>
      <c r="H95" s="95">
        <f t="shared" si="20"/>
        <v>1264.0319999999997</v>
      </c>
    </row>
    <row r="96" spans="1:8">
      <c r="A96" s="94" t="s">
        <v>140</v>
      </c>
      <c r="B96" s="95">
        <f t="shared" ref="B96:H96" si="21">B47*20%</f>
        <v>79.001999999999995</v>
      </c>
      <c r="C96" s="95">
        <f t="shared" si="21"/>
        <v>118.503</v>
      </c>
      <c r="D96" s="95">
        <f t="shared" si="21"/>
        <v>158.00399999999999</v>
      </c>
      <c r="E96" s="95">
        <f t="shared" si="21"/>
        <v>197.505</v>
      </c>
      <c r="F96" s="95">
        <f t="shared" si="21"/>
        <v>237.00599999999997</v>
      </c>
      <c r="G96" s="95">
        <f t="shared" si="21"/>
        <v>276.50699999999995</v>
      </c>
      <c r="H96" s="95">
        <f t="shared" si="21"/>
        <v>316.00799999999992</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Paddy</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452</v>
      </c>
      <c r="B124">
        <v>50</v>
      </c>
    </row>
    <row r="131" spans="1:10" ht="18.75">
      <c r="A131" s="412" t="s">
        <v>689</v>
      </c>
      <c r="B131" s="412"/>
      <c r="C131" s="412"/>
      <c r="D131" s="412"/>
      <c r="E131" s="412"/>
      <c r="F131" s="412"/>
      <c r="G131" s="412"/>
      <c r="H131" s="412"/>
      <c r="I131" s="412"/>
      <c r="J131" s="412"/>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697</v>
      </c>
      <c r="C139" s="229">
        <v>65</v>
      </c>
      <c r="D139" s="95">
        <f>(((B95*100)*(1-'5.Closing Stock &amp; W Capital'!$D$16))/$B$124)*$C$139*D133</f>
        <v>24648.623999999996</v>
      </c>
      <c r="E139" s="95">
        <f>E133*((((C95*100)*(1-'5.Closing Stock &amp; W Capital'!$D$16))+((B95*100)*'5.Closing Stock &amp; W Capital'!$D$16))/$B$124)*$C$139</f>
        <v>56075.619599999998</v>
      </c>
      <c r="F139" s="95">
        <f>F133*((((D95*100)*(1-'5.Closing Stock &amp; W Capital'!$D$16))+((C95*100)*'5.Closing Stock &amp; W Capital'!$D$16))/$B$124)*$C$139</f>
        <v>81525.323879999996</v>
      </c>
      <c r="G139" s="95">
        <f>G133*((((E95*100)*(1-'5.Closing Stock &amp; W Capital'!$D$16))+((D95*100)*'5.Closing Stock &amp; W Capital'!$D$16))/$B$124)*$C$139</f>
        <v>109379.80953900001</v>
      </c>
      <c r="H139" s="95">
        <f>H133*((((F95*100)*(1-'5.Closing Stock &amp; W Capital'!$D$16))+((E95*100)*'5.Closing Stock &amp; W Capital'!$D$16))/$B$124)*$C$139</f>
        <v>139815.93045420002</v>
      </c>
      <c r="I139" s="95">
        <f>I133*((((G95*100)*(1-'5.Closing Stock &amp; W Capital'!$D$16))+((F95*100)*'5.Closing Stock &amp; W Capital'!$D$16))/$B$124)*$C$139</f>
        <v>173022.21393707255</v>
      </c>
      <c r="J139" s="95">
        <f>J133*((((H95*100)*(1-'5.Closing Stock &amp; W Capital'!$D$16))+((G95*100)*'5.Closing Stock &amp; W Capital'!$D$16))/$B$124)*$C$139</f>
        <v>209199.58594209678</v>
      </c>
    </row>
    <row r="140" spans="1:10">
      <c r="A140" s="94" t="str">
        <f>+'12.Facility 1 - Trading'!A179</f>
        <v>Tur</v>
      </c>
      <c r="B140" s="229" t="s">
        <v>697</v>
      </c>
      <c r="C140" s="229">
        <v>65</v>
      </c>
      <c r="D140" s="95">
        <f>(((B63*100)*(1-'5.Closing Stock &amp; W Capital'!$D$16))/B124)*$C$140*D133</f>
        <v>2934.3599999999997</v>
      </c>
      <c r="E140" s="95">
        <f>((((C63*100)*(1-'5.Closing Stock &amp; W Capital'!$D$16))+((B63*100)*'5.Closing Stock &amp; W Capital'!$D$16))/$B$124)*$C$140*E133</f>
        <v>6675.6690000000008</v>
      </c>
      <c r="F140" s="95">
        <f>((((D63*100)*(1-'5.Closing Stock &amp; W Capital'!$D$16))+((C63*100)*'5.Closing Stock &amp; W Capital'!$D$16))/$B$124)*$C$140*F133</f>
        <v>9705.3957000000028</v>
      </c>
      <c r="G140" s="95">
        <f>((((E63*100)*(1-'5.Closing Stock &amp; W Capital'!$D$16))+((D63*100)*'5.Closing Stock &amp; W Capital'!$D$16))/$B$124)*$C$140*G133</f>
        <v>13021.405897500003</v>
      </c>
      <c r="H140" s="95">
        <f>((((F63*100)*(1-'5.Closing Stock &amp; W Capital'!$D$16))+((E63*100)*'5.Closing Stock &amp; W Capital'!$D$16))/$B$124)*$C$140*H133</f>
        <v>16644.753625500009</v>
      </c>
      <c r="I140" s="95">
        <f>((((G63*100)*(1-'5.Closing Stock &amp; W Capital'!$D$16))+((F63*100)*'5.Closing Stock &amp; W Capital'!$D$16))/$B$124)*$C$140*I133</f>
        <v>20597.882611556259</v>
      </c>
      <c r="J140" s="95">
        <f>((((H63*100)*(1-'5.Closing Stock &amp; W Capital'!$D$16))+((G63*100)*'5.Closing Stock &amp; W Capital'!$D$16))/$B$124)*$C$140*J133</f>
        <v>24904.712612154384</v>
      </c>
    </row>
    <row r="141" spans="1:10">
      <c r="A141" s="94" t="str">
        <f>+'12.Facility 1 - Trading'!A180</f>
        <v>Turmeric</v>
      </c>
      <c r="B141" s="229" t="s">
        <v>697</v>
      </c>
      <c r="C141" s="229">
        <v>100</v>
      </c>
      <c r="D141" s="95">
        <f>(((B78*100)*(1-'5.Closing Stock &amp; W Capital'!D16))/$B$124)*$C$141*D133</f>
        <v>3763.5840000000003</v>
      </c>
      <c r="E141" s="95">
        <f>((((C78*100)*(1-'5.Closing Stock &amp; W Capital'!$D$16))+((B78*100)*'5.Closing Stock &amp; W Capital'!$D$16))/$B$124)*$C$141*E133</f>
        <v>8562.1536000000015</v>
      </c>
      <c r="F141" s="95">
        <f>((((D78*100)*(1-'5.Closing Stock &amp; W Capital'!$D$16))+((C78*100)*'5.Closing Stock &amp; W Capital'!$D$16))/$B$124)*$C$141*F133</f>
        <v>12448.054080000004</v>
      </c>
      <c r="G141" s="95">
        <f>((((E78*100)*(1-'5.Closing Stock &amp; W Capital'!$D$16))+((D78*100)*'5.Closing Stock &amp; W Capital'!$D$16))/$B$124)*$C$141*G133</f>
        <v>16701.139224000002</v>
      </c>
      <c r="H141" s="95">
        <f>((((F78*100)*(1-'5.Closing Stock &amp; W Capital'!$D$16))+((E78*100)*'5.Closing Stock &amp; W Capital'!$D$16))/$B$124)*$C$141*H133</f>
        <v>21348.412747200007</v>
      </c>
      <c r="I141" s="95">
        <f>((((G78*100)*(1-'5.Closing Stock &amp; W Capital'!$D$16))+((F78*100)*'5.Closing Stock &amp; W Capital'!$D$16))/$B$124)*$C$141*I133</f>
        <v>26418.660774660013</v>
      </c>
      <c r="J141" s="95">
        <f>((((H78*100)*(1-'5.Closing Stock &amp; W Capital'!$D$16))+((G78*100)*'5.Closing Stock &amp; W Capital'!$D$16))/$B$124)*$C$141*J133</f>
        <v>31942.562572998009</v>
      </c>
    </row>
    <row r="142" spans="1:10">
      <c r="A142" s="94" t="str">
        <f>+'12.Facility 1 - Trading'!A181</f>
        <v>Moong</v>
      </c>
      <c r="B142" s="229" t="s">
        <v>697</v>
      </c>
      <c r="C142" s="229">
        <v>65</v>
      </c>
      <c r="D142" s="95">
        <f>(((B70*100)*(1-'5.Closing Stock &amp; W Capital'!D16))/B124)*$C$142*D133</f>
        <v>2140.5383999999999</v>
      </c>
      <c r="E142" s="95">
        <f>((((C70*100)*(1-'5.Closing Stock &amp; W Capital'!$D$16))+((B70*100)*'5.Closing Stock &amp; W Capital'!$D$16))/$B$124)*$C$142*E133</f>
        <v>4869.7248600000003</v>
      </c>
      <c r="F142" s="95">
        <f>((((D70*100)*(1-'5.Closing Stock &amp; W Capital'!$D$16))+((C70*100)*'5.Closing Stock &amp; W Capital'!$D$16))/$B$124)*$C$142*F133</f>
        <v>7079.8307580000001</v>
      </c>
      <c r="G142" s="95">
        <f>((((E70*100)*(1-'5.Closing Stock &amp; W Capital'!$D$16))+((D70*100)*'5.Closing Stock &amp; W Capital'!$D$16))/$B$124)*$C$142*G133</f>
        <v>9498.7729336500033</v>
      </c>
      <c r="H142" s="95">
        <f>((((F70*100)*(1-'5.Closing Stock &amp; W Capital'!$D$16))+((E70*100)*'5.Closing Stock &amp; W Capital'!$D$16))/$B$124)*$C$142*H133</f>
        <v>12141.909749969998</v>
      </c>
      <c r="I142" s="95">
        <f>((((G70*100)*(1-'5.Closing Stock &amp; W Capital'!$D$16))+((F70*100)*'5.Closing Stock &amp; W Capital'!$D$16))/$B$124)*$C$142*I133</f>
        <v>15025.61331558788</v>
      </c>
      <c r="J142" s="95">
        <f>((((H70*100)*(1-'5.Closing Stock &amp; W Capital'!$D$16))+((G70*100)*'5.Closing Stock &amp; W Capital'!$D$16))/$B$124)*$C$142*J133</f>
        <v>18167.332463392617</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412433.99999999994</v>
      </c>
      <c r="E147" s="95">
        <f t="shared" si="23"/>
        <v>649583.55000000005</v>
      </c>
      <c r="F147" s="95">
        <f t="shared" si="23"/>
        <v>909416.96999999986</v>
      </c>
      <c r="G147" s="95">
        <f t="shared" si="23"/>
        <v>1193609.7731250001</v>
      </c>
      <c r="H147" s="95">
        <f t="shared" si="23"/>
        <v>1503948.3141375002</v>
      </c>
      <c r="I147" s="95">
        <f t="shared" si="23"/>
        <v>1842336.6848184373</v>
      </c>
      <c r="J147" s="95">
        <f t="shared" si="23"/>
        <v>2210804.0217821253</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70516.875000000015</v>
      </c>
      <c r="E149" s="95">
        <f t="shared" si="24"/>
        <v>111064.078125</v>
      </c>
      <c r="F149" s="95">
        <f t="shared" si="24"/>
        <v>155489.70937500003</v>
      </c>
      <c r="G149" s="95">
        <f t="shared" si="24"/>
        <v>204080.24355468753</v>
      </c>
      <c r="H149" s="95">
        <f t="shared" si="24"/>
        <v>257141.10687890626</v>
      </c>
      <c r="I149" s="95">
        <f t="shared" si="24"/>
        <v>314997.85592666018</v>
      </c>
      <c r="J149" s="95">
        <f t="shared" si="24"/>
        <v>377997.42711199221</v>
      </c>
    </row>
    <row r="150" spans="1:11">
      <c r="A150" s="94"/>
      <c r="B150" s="94"/>
      <c r="C150" s="94"/>
      <c r="D150" s="95"/>
      <c r="E150" s="95"/>
      <c r="F150" s="95"/>
      <c r="G150" s="95"/>
      <c r="H150" s="95"/>
      <c r="I150" s="95"/>
      <c r="J150" s="95"/>
    </row>
    <row r="151" spans="1:11">
      <c r="A151" s="96" t="s">
        <v>127</v>
      </c>
      <c r="B151" s="96"/>
      <c r="C151" s="96"/>
      <c r="D151" s="114">
        <f>SUM(D139:D149)</f>
        <v>516437.98139999993</v>
      </c>
      <c r="E151" s="114">
        <f t="shared" ref="E151:J151" si="25">SUM(E139:E149)</f>
        <v>836830.79518500005</v>
      </c>
      <c r="F151" s="114">
        <f t="shared" si="25"/>
        <v>1175665.2837929998</v>
      </c>
      <c r="G151" s="114">
        <f t="shared" si="25"/>
        <v>1546291.1442738376</v>
      </c>
      <c r="H151" s="114">
        <f t="shared" si="25"/>
        <v>1951040.4275932766</v>
      </c>
      <c r="I151" s="114">
        <f t="shared" si="25"/>
        <v>2392398.9113839744</v>
      </c>
      <c r="J151" s="114">
        <f t="shared" si="25"/>
        <v>2873015.6424847594</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697</v>
      </c>
      <c r="C155" s="247">
        <v>20</v>
      </c>
      <c r="D155" s="95">
        <f t="shared" ref="D155:J155" si="26">(B47)*$C$155*D133</f>
        <v>7900.1999999999989</v>
      </c>
      <c r="E155" s="95">
        <f t="shared" si="26"/>
        <v>12442.815000000001</v>
      </c>
      <c r="F155" s="95">
        <f t="shared" si="26"/>
        <v>17419.940999999999</v>
      </c>
      <c r="G155" s="95">
        <f t="shared" si="26"/>
        <v>22863.6725625</v>
      </c>
      <c r="H155" s="95">
        <f t="shared" si="26"/>
        <v>28808.22742875</v>
      </c>
      <c r="I155" s="95">
        <f t="shared" si="26"/>
        <v>35290.078600218752</v>
      </c>
      <c r="J155" s="95">
        <f t="shared" si="26"/>
        <v>42348.094320262499</v>
      </c>
    </row>
    <row r="156" spans="1:11">
      <c r="A156" s="94" t="str">
        <f>+A140</f>
        <v>Tur</v>
      </c>
      <c r="B156" s="229" t="s">
        <v>697</v>
      </c>
      <c r="C156" s="247">
        <v>20</v>
      </c>
      <c r="D156" s="95">
        <f t="shared" ref="D156:J156" si="27">(B38)*$C$156*D133</f>
        <v>940.5</v>
      </c>
      <c r="E156" s="95">
        <f t="shared" si="27"/>
        <v>1481.2875000000004</v>
      </c>
      <c r="F156" s="95">
        <f t="shared" si="27"/>
        <v>2073.8025000000002</v>
      </c>
      <c r="G156" s="95">
        <f t="shared" si="27"/>
        <v>2721.8657812500005</v>
      </c>
      <c r="H156" s="95">
        <f t="shared" si="27"/>
        <v>3429.5508843750013</v>
      </c>
      <c r="I156" s="95">
        <f t="shared" si="27"/>
        <v>4201.1998333593765</v>
      </c>
      <c r="J156" s="95">
        <f t="shared" si="27"/>
        <v>5041.4398000312503</v>
      </c>
    </row>
    <row r="157" spans="1:11">
      <c r="A157" s="94" t="str">
        <f>+A141</f>
        <v>Turmeric</v>
      </c>
      <c r="B157" s="229" t="s">
        <v>697</v>
      </c>
      <c r="C157" s="247">
        <v>35</v>
      </c>
      <c r="D157" s="95">
        <f t="shared" ref="D157:J157" si="28">(B42)*$C$157*D133</f>
        <v>1372.14</v>
      </c>
      <c r="E157" s="95">
        <f t="shared" si="28"/>
        <v>2161.1205000000004</v>
      </c>
      <c r="F157" s="95">
        <f t="shared" si="28"/>
        <v>3025.5687000000007</v>
      </c>
      <c r="G157" s="95">
        <f t="shared" si="28"/>
        <v>3971.0589187500013</v>
      </c>
      <c r="H157" s="95">
        <f t="shared" si="28"/>
        <v>5003.534237625001</v>
      </c>
      <c r="I157" s="95">
        <f t="shared" si="28"/>
        <v>6129.3294410906265</v>
      </c>
      <c r="J157" s="95">
        <f t="shared" si="28"/>
        <v>7355.1953293087518</v>
      </c>
    </row>
    <row r="158" spans="1:11">
      <c r="A158" s="94" t="str">
        <f>+A142</f>
        <v>Moong</v>
      </c>
      <c r="B158" s="229" t="s">
        <v>697</v>
      </c>
      <c r="C158" s="247">
        <v>30</v>
      </c>
      <c r="D158" s="95">
        <f t="shared" ref="D158:J158" si="29">(B40)*$C$158*D133</f>
        <v>1029.105</v>
      </c>
      <c r="E158" s="95">
        <f t="shared" si="29"/>
        <v>1620.8403750000004</v>
      </c>
      <c r="F158" s="95">
        <f t="shared" si="29"/>
        <v>2269.1765250000003</v>
      </c>
      <c r="G158" s="95">
        <f t="shared" si="29"/>
        <v>2978.2941890625002</v>
      </c>
      <c r="H158" s="95">
        <f t="shared" si="29"/>
        <v>3752.6506782187503</v>
      </c>
      <c r="I158" s="95">
        <f t="shared" si="29"/>
        <v>4596.9970808179696</v>
      </c>
      <c r="J158" s="95">
        <f t="shared" si="29"/>
        <v>5516.3964969815643</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30851.132812500007</v>
      </c>
      <c r="E160" s="95">
        <f t="shared" si="31"/>
        <v>48590.5341796875</v>
      </c>
      <c r="F160" s="95">
        <f t="shared" si="31"/>
        <v>68026.747851562512</v>
      </c>
      <c r="G160" s="95">
        <f t="shared" si="31"/>
        <v>89285.106555175793</v>
      </c>
      <c r="H160" s="95">
        <f t="shared" si="31"/>
        <v>112499.23425952149</v>
      </c>
      <c r="I160" s="95">
        <f t="shared" si="31"/>
        <v>137811.56196791382</v>
      </c>
      <c r="J160" s="95">
        <f t="shared" si="31"/>
        <v>165373.87436149659</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2820.6750000000006</v>
      </c>
      <c r="E162" s="95">
        <f t="shared" si="33"/>
        <v>4442.5631249999997</v>
      </c>
      <c r="F162" s="95">
        <f t="shared" si="33"/>
        <v>6219.5883750000012</v>
      </c>
      <c r="G162" s="95">
        <f t="shared" si="33"/>
        <v>8163.2097421875005</v>
      </c>
      <c r="H162" s="95">
        <f t="shared" si="33"/>
        <v>10285.64427515625</v>
      </c>
      <c r="I162" s="95">
        <f t="shared" si="33"/>
        <v>12599.914237066407</v>
      </c>
      <c r="J162" s="95">
        <f t="shared" si="33"/>
        <v>15119.897084479688</v>
      </c>
    </row>
    <row r="163" spans="1:10">
      <c r="A163" s="108" t="s">
        <v>296</v>
      </c>
      <c r="B163" s="108">
        <v>5</v>
      </c>
      <c r="C163" s="248">
        <v>20</v>
      </c>
      <c r="D163" s="95">
        <f t="shared" ref="D163:J163" si="34">(((B78+B69+B95+B63)*100)/50)*$C$163*D133</f>
        <v>15399.648000000001</v>
      </c>
      <c r="E163" s="95">
        <f t="shared" si="34"/>
        <v>24254.445600000006</v>
      </c>
      <c r="F163" s="95">
        <f t="shared" si="34"/>
        <v>33956.223840000006</v>
      </c>
      <c r="G163" s="95">
        <f t="shared" si="34"/>
        <v>44567.543790000011</v>
      </c>
      <c r="H163" s="95">
        <f t="shared" si="34"/>
        <v>56155.1051754</v>
      </c>
      <c r="I163" s="95">
        <f t="shared" si="34"/>
        <v>68790.003839865007</v>
      </c>
      <c r="J163" s="95">
        <f t="shared" si="34"/>
        <v>82548.004607838011</v>
      </c>
    </row>
    <row r="164" spans="1:10">
      <c r="A164" s="94" t="s">
        <v>297</v>
      </c>
      <c r="B164" s="94">
        <v>5</v>
      </c>
      <c r="C164" s="229">
        <v>20</v>
      </c>
      <c r="D164" s="95">
        <f t="shared" ref="D164:J164" si="35">(((B78+B69+B95+B63)*100)/50)*$C$164*D133</f>
        <v>15399.648000000001</v>
      </c>
      <c r="E164" s="95">
        <f t="shared" si="35"/>
        <v>24254.445600000006</v>
      </c>
      <c r="F164" s="95">
        <f t="shared" si="35"/>
        <v>33956.223840000006</v>
      </c>
      <c r="G164" s="95">
        <f t="shared" si="35"/>
        <v>44567.543790000011</v>
      </c>
      <c r="H164" s="95">
        <f t="shared" si="35"/>
        <v>56155.1051754</v>
      </c>
      <c r="I164" s="95">
        <f t="shared" si="35"/>
        <v>68790.003839865007</v>
      </c>
      <c r="J164" s="95">
        <f t="shared" si="35"/>
        <v>82548.004607838011</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24125.360325000005</v>
      </c>
      <c r="F169" s="95">
        <f>'5.Closing Stock &amp; W Capital'!G7</f>
        <v>37997.442511875</v>
      </c>
      <c r="G169" s="95">
        <f>'5.Closing Stock &amp; W Capital'!H7</f>
        <v>53196.419516625014</v>
      </c>
      <c r="H169" s="95">
        <f>'5.Closing Stock &amp; W Capital'!I7</f>
        <v>69820.300615570319</v>
      </c>
      <c r="I169" s="95">
        <f>'5.Closing Stock &amp; W Capital'!J7</f>
        <v>87973.578775618618</v>
      </c>
      <c r="J169" s="95">
        <f>'5.Closing Stock &amp; W Capital'!K7</f>
        <v>107767.63400013279</v>
      </c>
    </row>
    <row r="170" spans="1:10">
      <c r="A170" s="194" t="s">
        <v>342</v>
      </c>
      <c r="B170" s="95"/>
      <c r="C170" s="95"/>
      <c r="D170" s="95">
        <f>'5.Closing Stock &amp; W Capital'!E16</f>
        <v>24125.360325000005</v>
      </c>
      <c r="E170" s="95">
        <f>'5.Closing Stock &amp; W Capital'!F16</f>
        <v>37997.442511875</v>
      </c>
      <c r="F170" s="95">
        <f>'5.Closing Stock &amp; W Capital'!G16</f>
        <v>53196.419516625014</v>
      </c>
      <c r="G170" s="95">
        <f>'5.Closing Stock &amp; W Capital'!H16</f>
        <v>69820.300615570319</v>
      </c>
      <c r="H170" s="95">
        <f>'5.Closing Stock &amp; W Capital'!I16</f>
        <v>87973.578775618618</v>
      </c>
      <c r="I170" s="95">
        <f>'5.Closing Stock &amp; W Capital'!J16</f>
        <v>107767.63400013279</v>
      </c>
      <c r="J170" s="95">
        <f>'5.Closing Stock &amp; W Capital'!K16</f>
        <v>129321.16080015936</v>
      </c>
    </row>
    <row r="171" spans="1:10">
      <c r="A171" s="95"/>
      <c r="B171" s="95"/>
      <c r="C171" s="95"/>
      <c r="D171" s="95"/>
      <c r="E171" s="95"/>
      <c r="F171" s="95"/>
      <c r="G171" s="95"/>
      <c r="H171" s="95"/>
      <c r="I171" s="95"/>
      <c r="J171" s="95"/>
    </row>
    <row r="172" spans="1:10">
      <c r="A172" s="114" t="s">
        <v>319</v>
      </c>
      <c r="B172" s="95"/>
      <c r="C172" s="95"/>
      <c r="D172" s="114">
        <f>SUM(D155:D169)-D170</f>
        <v>51587.688487500011</v>
      </c>
      <c r="E172" s="114">
        <f>SUM(E155:E169)-E170</f>
        <v>105375.9696928125</v>
      </c>
      <c r="F172" s="114">
        <f t="shared" ref="F172:J172" si="36">SUM(F155:F169)-F170</f>
        <v>151748.29562681256</v>
      </c>
      <c r="G172" s="114">
        <f t="shared" si="36"/>
        <v>202494.4142299805</v>
      </c>
      <c r="H172" s="114">
        <f t="shared" si="36"/>
        <v>257935.77395439823</v>
      </c>
      <c r="I172" s="114">
        <f t="shared" si="36"/>
        <v>318415.0336156828</v>
      </c>
      <c r="J172" s="114">
        <f t="shared" si="36"/>
        <v>384297.37980820984</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171587.68848750001</v>
      </c>
      <c r="E181" s="114">
        <f t="shared" si="39"/>
        <v>231375.9696928125</v>
      </c>
      <c r="F181" s="114">
        <f t="shared" si="39"/>
        <v>284048.29562681256</v>
      </c>
      <c r="G181" s="114">
        <f t="shared" si="39"/>
        <v>341409.41422998055</v>
      </c>
      <c r="H181" s="114">
        <f t="shared" si="39"/>
        <v>403796.52395439823</v>
      </c>
      <c r="I181" s="114">
        <f t="shared" si="39"/>
        <v>471568.82111568283</v>
      </c>
      <c r="J181" s="114">
        <f t="shared" si="39"/>
        <v>545108.85668320989</v>
      </c>
    </row>
    <row r="182" spans="1:10">
      <c r="A182" s="94"/>
      <c r="B182" s="94"/>
      <c r="C182" s="94"/>
      <c r="D182" s="95"/>
      <c r="E182" s="95"/>
      <c r="F182" s="95"/>
      <c r="G182" s="95"/>
      <c r="H182" s="95"/>
      <c r="I182" s="95"/>
      <c r="J182" s="95"/>
    </row>
    <row r="183" spans="1:10">
      <c r="A183" s="96" t="s">
        <v>7</v>
      </c>
      <c r="B183" s="96"/>
      <c r="C183" s="96"/>
      <c r="D183" s="114">
        <f t="shared" ref="D183:J183" si="40">D151-D181</f>
        <v>344850.29291249992</v>
      </c>
      <c r="E183" s="114">
        <f t="shared" si="40"/>
        <v>605454.82549218752</v>
      </c>
      <c r="F183" s="114">
        <f t="shared" si="40"/>
        <v>891616.98816618719</v>
      </c>
      <c r="G183" s="114">
        <f t="shared" si="40"/>
        <v>1204881.7300438569</v>
      </c>
      <c r="H183" s="114">
        <f t="shared" si="40"/>
        <v>1547243.9036388784</v>
      </c>
      <c r="I183" s="114">
        <f t="shared" si="40"/>
        <v>1920830.0902682915</v>
      </c>
      <c r="J183" s="114">
        <f t="shared" si="40"/>
        <v>2327906.7858015494</v>
      </c>
    </row>
    <row r="184" spans="1:10">
      <c r="A184" s="115"/>
      <c r="B184" s="115"/>
      <c r="C184" s="115"/>
      <c r="D184" s="93"/>
      <c r="E184" s="93"/>
      <c r="F184" s="93"/>
      <c r="G184" s="93"/>
      <c r="H184" s="93"/>
      <c r="I184" s="93"/>
      <c r="J184" s="93"/>
    </row>
    <row r="185" spans="1:10">
      <c r="A185" s="413" t="s">
        <v>423</v>
      </c>
      <c r="B185" s="413"/>
      <c r="C185" s="413"/>
      <c r="D185" s="413"/>
      <c r="E185" s="413"/>
      <c r="F185" s="413"/>
      <c r="G185" s="413"/>
      <c r="H185" s="413"/>
      <c r="I185" s="413"/>
      <c r="J185" s="413"/>
    </row>
    <row r="187" spans="1:10">
      <c r="A187" t="s">
        <v>536</v>
      </c>
    </row>
    <row r="188" spans="1:10">
      <c r="A188">
        <v>1</v>
      </c>
      <c r="B188" t="s">
        <v>547</v>
      </c>
    </row>
    <row r="189" spans="1:10">
      <c r="A189">
        <v>2</v>
      </c>
      <c r="B189" t="s">
        <v>548</v>
      </c>
    </row>
    <row r="190" spans="1:10">
      <c r="A190">
        <v>3</v>
      </c>
      <c r="B190" s="93" t="s">
        <v>588</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zoomScale="80" zoomScaleSheetLayoutView="80" workbookViewId="0">
      <selection activeCell="C4" sqref="C4"/>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4" t="s">
        <v>575</v>
      </c>
      <c r="B2" s="484"/>
      <c r="C2" s="484"/>
      <c r="D2" s="484"/>
      <c r="E2" s="484"/>
      <c r="F2" s="484"/>
      <c r="G2" s="484"/>
      <c r="H2" s="484"/>
    </row>
    <row r="3" spans="1:10" ht="18.75">
      <c r="A3" s="484" t="s">
        <v>576</v>
      </c>
      <c r="B3" s="484"/>
      <c r="C3" s="484"/>
      <c r="D3" s="484"/>
      <c r="E3" s="484"/>
      <c r="F3" s="484"/>
      <c r="G3" s="484"/>
      <c r="H3" s="484"/>
    </row>
    <row r="4" spans="1:10">
      <c r="A4" s="186" t="s">
        <v>159</v>
      </c>
      <c r="B4" s="251">
        <v>200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1920</v>
      </c>
      <c r="C10" s="190">
        <f t="shared" si="0"/>
        <v>2040.0000000000005</v>
      </c>
      <c r="D10" s="190">
        <f t="shared" si="0"/>
        <v>2160.0000000000005</v>
      </c>
      <c r="E10" s="190">
        <f t="shared" si="0"/>
        <v>2280.0000000000005</v>
      </c>
      <c r="F10" s="190">
        <f t="shared" si="0"/>
        <v>2400.0000000000009</v>
      </c>
      <c r="G10" s="190">
        <f t="shared" si="0"/>
        <v>2400.0000000000009</v>
      </c>
      <c r="H10" s="190">
        <f t="shared" si="0"/>
        <v>2400.0000000000009</v>
      </c>
    </row>
    <row r="15" spans="1:10" ht="18.75">
      <c r="A15" s="412" t="s">
        <v>577</v>
      </c>
      <c r="B15" s="412"/>
      <c r="C15" s="412"/>
      <c r="D15" s="412"/>
      <c r="E15" s="412"/>
      <c r="F15" s="412"/>
      <c r="G15" s="412"/>
      <c r="H15" s="412"/>
      <c r="I15" s="412"/>
      <c r="J15" s="412"/>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200</v>
      </c>
      <c r="D21" s="95">
        <f t="shared" ref="D21:J21" si="2">B10*$C$21*D17</f>
        <v>384000</v>
      </c>
      <c r="E21" s="95">
        <f t="shared" si="2"/>
        <v>428400.00000000012</v>
      </c>
      <c r="F21" s="95">
        <f t="shared" si="2"/>
        <v>476280.00000000012</v>
      </c>
      <c r="G21" s="95">
        <f t="shared" si="2"/>
        <v>527877.00000000023</v>
      </c>
      <c r="H21" s="95">
        <f t="shared" si="2"/>
        <v>583443.00000000035</v>
      </c>
      <c r="I21" s="95">
        <f t="shared" si="2"/>
        <v>612615.15000000037</v>
      </c>
      <c r="J21" s="95">
        <f t="shared" si="2"/>
        <v>643245.90750000044</v>
      </c>
    </row>
    <row r="22" spans="1:10">
      <c r="A22" s="94"/>
      <c r="B22" s="94"/>
      <c r="C22" s="95"/>
      <c r="D22" s="95"/>
      <c r="E22" s="95"/>
      <c r="F22" s="95"/>
      <c r="G22" s="95"/>
      <c r="H22" s="95"/>
      <c r="I22" s="95"/>
      <c r="J22" s="95"/>
    </row>
    <row r="23" spans="1:10">
      <c r="A23" s="96" t="s">
        <v>142</v>
      </c>
      <c r="B23" s="96"/>
      <c r="C23" s="114"/>
      <c r="D23" s="95">
        <f t="shared" ref="D23:J23" si="3">SUM(D21:D21)</f>
        <v>384000</v>
      </c>
      <c r="E23" s="95">
        <f t="shared" si="3"/>
        <v>428400.00000000012</v>
      </c>
      <c r="F23" s="95">
        <f t="shared" si="3"/>
        <v>476280.00000000012</v>
      </c>
      <c r="G23" s="95">
        <f t="shared" si="3"/>
        <v>527877.00000000023</v>
      </c>
      <c r="H23" s="95">
        <f t="shared" si="3"/>
        <v>583443.00000000035</v>
      </c>
      <c r="I23" s="95">
        <f t="shared" si="3"/>
        <v>612615.15000000037</v>
      </c>
      <c r="J23" s="95">
        <f t="shared" si="3"/>
        <v>643245.90750000044</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1600</v>
      </c>
      <c r="E27" s="95">
        <f t="shared" si="4"/>
        <v>1680</v>
      </c>
      <c r="F27" s="95">
        <f t="shared" si="4"/>
        <v>1764</v>
      </c>
      <c r="G27" s="95">
        <f t="shared" si="4"/>
        <v>1852.2000000000003</v>
      </c>
      <c r="H27" s="95">
        <f t="shared" si="4"/>
        <v>1944.8100000000004</v>
      </c>
      <c r="I27" s="95">
        <f t="shared" si="4"/>
        <v>2042.0505000000005</v>
      </c>
      <c r="J27" s="95">
        <f t="shared" si="4"/>
        <v>2144.1530250000005</v>
      </c>
    </row>
    <row r="28" spans="1:10">
      <c r="A28" s="94" t="s">
        <v>304</v>
      </c>
      <c r="B28" s="229" t="s">
        <v>299</v>
      </c>
      <c r="C28" s="247">
        <v>10</v>
      </c>
      <c r="D28" s="95">
        <f t="shared" ref="D28:J28" si="5">$B$4*$C$28*D17*12</f>
        <v>24000</v>
      </c>
      <c r="E28" s="95">
        <f t="shared" si="5"/>
        <v>25200</v>
      </c>
      <c r="F28" s="95">
        <f t="shared" si="5"/>
        <v>26460</v>
      </c>
      <c r="G28" s="95">
        <f t="shared" si="5"/>
        <v>27783.000000000007</v>
      </c>
      <c r="H28" s="95">
        <f t="shared" si="5"/>
        <v>29172.15</v>
      </c>
      <c r="I28" s="95">
        <f t="shared" si="5"/>
        <v>30630.757500000007</v>
      </c>
      <c r="J28" s="95">
        <f t="shared" si="5"/>
        <v>32162.295375000009</v>
      </c>
    </row>
    <row r="29" spans="1:10">
      <c r="A29" s="94" t="s">
        <v>305</v>
      </c>
      <c r="B29" s="229"/>
      <c r="C29" s="247">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25600</v>
      </c>
      <c r="E34" s="114">
        <f t="shared" ref="E34:J34" si="7">SUM(E27:E33)</f>
        <v>26880</v>
      </c>
      <c r="F34" s="114">
        <f t="shared" si="7"/>
        <v>28224</v>
      </c>
      <c r="G34" s="114">
        <f t="shared" si="7"/>
        <v>29635.200000000008</v>
      </c>
      <c r="H34" s="114">
        <f t="shared" si="7"/>
        <v>31116.960000000003</v>
      </c>
      <c r="I34" s="114">
        <f t="shared" si="7"/>
        <v>32672.808000000008</v>
      </c>
      <c r="J34" s="114">
        <f t="shared" si="7"/>
        <v>34306.448400000008</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5000</v>
      </c>
      <c r="D37" s="95">
        <f>$B$37*$C$37*D17*12</f>
        <v>60000</v>
      </c>
      <c r="E37" s="95">
        <f t="shared" ref="E37:J37" si="8">$B$37*$C$37*E17*12</f>
        <v>63000</v>
      </c>
      <c r="F37" s="95">
        <f t="shared" si="8"/>
        <v>66150</v>
      </c>
      <c r="G37" s="95">
        <f t="shared" si="8"/>
        <v>69457.500000000015</v>
      </c>
      <c r="H37" s="95">
        <f t="shared" si="8"/>
        <v>72930.375000000015</v>
      </c>
      <c r="I37" s="95">
        <f t="shared" si="8"/>
        <v>76576.893750000017</v>
      </c>
      <c r="J37" s="95">
        <f t="shared" si="8"/>
        <v>80405.738437500026</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60000</v>
      </c>
      <c r="E43" s="114">
        <f t="shared" ref="E43:J43" si="9">SUM(E37:E42)</f>
        <v>63000</v>
      </c>
      <c r="F43" s="114">
        <f t="shared" si="9"/>
        <v>66150</v>
      </c>
      <c r="G43" s="114">
        <f t="shared" si="9"/>
        <v>69457.500000000015</v>
      </c>
      <c r="H43" s="114">
        <f t="shared" si="9"/>
        <v>72930.375000000015</v>
      </c>
      <c r="I43" s="114">
        <f t="shared" si="9"/>
        <v>76576.893750000017</v>
      </c>
      <c r="J43" s="114">
        <f t="shared" si="9"/>
        <v>80405.738437500026</v>
      </c>
    </row>
    <row r="44" spans="1:10">
      <c r="A44" s="96"/>
      <c r="B44" s="96"/>
      <c r="C44" s="114"/>
      <c r="D44" s="114"/>
      <c r="E44" s="114"/>
      <c r="F44" s="114"/>
      <c r="G44" s="114"/>
      <c r="H44" s="114"/>
      <c r="I44" s="114"/>
      <c r="J44" s="114"/>
    </row>
    <row r="45" spans="1:10">
      <c r="A45" s="96" t="s">
        <v>129</v>
      </c>
      <c r="B45" s="96"/>
      <c r="C45" s="114"/>
      <c r="D45" s="114">
        <f>D34+D43</f>
        <v>85600</v>
      </c>
      <c r="E45" s="114">
        <f t="shared" ref="E45:J45" si="10">E34+E43</f>
        <v>89880</v>
      </c>
      <c r="F45" s="114">
        <f t="shared" si="10"/>
        <v>94374</v>
      </c>
      <c r="G45" s="114">
        <f t="shared" si="10"/>
        <v>99092.700000000026</v>
      </c>
      <c r="H45" s="114">
        <f t="shared" si="10"/>
        <v>104047.33500000002</v>
      </c>
      <c r="I45" s="114">
        <f t="shared" si="10"/>
        <v>109249.70175000002</v>
      </c>
      <c r="J45" s="114">
        <f t="shared" si="10"/>
        <v>114712.18683750003</v>
      </c>
    </row>
    <row r="46" spans="1:10">
      <c r="A46" s="94"/>
      <c r="B46" s="94"/>
      <c r="C46" s="95"/>
      <c r="D46" s="95"/>
      <c r="E46" s="95"/>
      <c r="F46" s="95"/>
      <c r="G46" s="95"/>
      <c r="H46" s="95"/>
      <c r="I46" s="95"/>
      <c r="J46" s="95"/>
    </row>
    <row r="47" spans="1:10">
      <c r="A47" s="96" t="s">
        <v>687</v>
      </c>
      <c r="B47" s="96"/>
      <c r="C47" s="114"/>
      <c r="D47" s="114">
        <f t="shared" ref="D47:J47" si="11">D23-D45</f>
        <v>298400</v>
      </c>
      <c r="E47" s="114">
        <f t="shared" si="11"/>
        <v>338520.00000000012</v>
      </c>
      <c r="F47" s="114">
        <f t="shared" si="11"/>
        <v>381906.00000000012</v>
      </c>
      <c r="G47" s="114">
        <f t="shared" si="11"/>
        <v>428784.30000000022</v>
      </c>
      <c r="H47" s="114">
        <f t="shared" si="11"/>
        <v>479395.66500000033</v>
      </c>
      <c r="I47" s="114">
        <f t="shared" si="11"/>
        <v>503365.44825000037</v>
      </c>
      <c r="J47" s="114">
        <f t="shared" si="11"/>
        <v>528533.72066250036</v>
      </c>
    </row>
    <row r="48" spans="1:10">
      <c r="A48" s="93"/>
      <c r="B48" s="93"/>
      <c r="C48" s="93"/>
      <c r="D48" s="93"/>
      <c r="E48" s="93"/>
      <c r="F48" s="93"/>
      <c r="G48" s="93"/>
      <c r="H48" s="93"/>
      <c r="I48" s="93"/>
      <c r="J48" s="93"/>
    </row>
    <row r="49" spans="1:10">
      <c r="A49" s="93"/>
    </row>
    <row r="51" spans="1:10">
      <c r="A51" s="413" t="s">
        <v>423</v>
      </c>
      <c r="B51" s="413"/>
      <c r="C51" s="413"/>
      <c r="D51" s="413"/>
      <c r="E51" s="413"/>
      <c r="F51" s="413"/>
      <c r="G51" s="413"/>
      <c r="H51" s="413"/>
      <c r="I51" s="413"/>
      <c r="J51" s="413"/>
    </row>
    <row r="53" spans="1:10">
      <c r="A53" t="s">
        <v>536</v>
      </c>
    </row>
    <row r="54" spans="1:10">
      <c r="A54">
        <v>1</v>
      </c>
      <c r="B54" t="s">
        <v>547</v>
      </c>
    </row>
    <row r="55" spans="1:10">
      <c r="A55">
        <v>2</v>
      </c>
      <c r="B55" t="s">
        <v>548</v>
      </c>
    </row>
    <row r="56" spans="1:10">
      <c r="A56">
        <v>3</v>
      </c>
      <c r="B56" s="93" t="s">
        <v>588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dimension ref="A3:P68"/>
  <sheetViews>
    <sheetView view="pageBreakPreview" zoomScale="80" zoomScaleSheetLayoutView="80" workbookViewId="0">
      <selection activeCell="E12" sqref="E1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2" t="s">
        <v>578</v>
      </c>
      <c r="B3" s="412"/>
      <c r="C3" s="412"/>
      <c r="D3" s="412"/>
      <c r="E3" s="412"/>
      <c r="F3" s="412"/>
      <c r="G3" s="412"/>
      <c r="H3" s="412"/>
      <c r="I3" s="412"/>
      <c r="J3" s="412"/>
      <c r="K3" s="412"/>
      <c r="L3" s="412"/>
    </row>
    <row r="4" spans="1:13" ht="18.75">
      <c r="A4" s="412" t="s">
        <v>579</v>
      </c>
      <c r="B4" s="412"/>
      <c r="C4" s="412"/>
      <c r="D4" s="412"/>
      <c r="E4" s="412"/>
      <c r="F4" s="412"/>
      <c r="G4" s="412"/>
      <c r="H4" s="412"/>
      <c r="I4" s="412"/>
      <c r="J4" s="412"/>
      <c r="K4" s="412"/>
      <c r="L4" s="412"/>
    </row>
    <row r="5" spans="1:13">
      <c r="A5" s="93"/>
      <c r="B5" s="93"/>
      <c r="C5" s="93"/>
    </row>
    <row r="6" spans="1:13">
      <c r="A6" s="93"/>
      <c r="B6" s="93"/>
      <c r="C6" s="93"/>
    </row>
    <row r="7" spans="1:13" ht="45">
      <c r="A7" s="277" t="s">
        <v>144</v>
      </c>
      <c r="B7" s="278" t="s">
        <v>431</v>
      </c>
      <c r="C7" s="278" t="s">
        <v>439</v>
      </c>
      <c r="D7" s="278" t="s">
        <v>437</v>
      </c>
      <c r="E7" s="278" t="s">
        <v>438</v>
      </c>
      <c r="F7" s="278" t="s">
        <v>306</v>
      </c>
      <c r="G7" s="278" t="s">
        <v>440</v>
      </c>
      <c r="H7" s="278" t="s">
        <v>441</v>
      </c>
      <c r="I7" s="278" t="s">
        <v>442</v>
      </c>
      <c r="J7" s="280" t="s">
        <v>445</v>
      </c>
      <c r="K7" s="278" t="s">
        <v>443</v>
      </c>
      <c r="L7" s="280" t="s">
        <v>444</v>
      </c>
      <c r="M7" s="278" t="s">
        <v>447</v>
      </c>
    </row>
    <row r="8" spans="1:13">
      <c r="A8" s="279">
        <v>1</v>
      </c>
      <c r="B8" s="273" t="s">
        <v>432</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433</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434</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435</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436</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2" t="s">
        <v>580</v>
      </c>
      <c r="B21" s="412"/>
      <c r="C21" s="412"/>
      <c r="D21" s="412"/>
      <c r="E21" s="412"/>
      <c r="F21" s="412"/>
      <c r="G21" s="412"/>
      <c r="H21" s="412"/>
      <c r="I21" s="412"/>
      <c r="J21" s="412"/>
      <c r="K21" s="412"/>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449</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446</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448</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3" t="s">
        <v>421</v>
      </c>
      <c r="B62" s="413"/>
      <c r="C62" s="413"/>
      <c r="D62" s="413"/>
      <c r="E62" s="413"/>
      <c r="F62" s="413"/>
      <c r="G62" s="413"/>
      <c r="H62" s="413"/>
      <c r="I62" s="413"/>
      <c r="J62" s="413"/>
      <c r="K62" s="413"/>
      <c r="L62" s="413"/>
    </row>
    <row r="65" spans="1:2">
      <c r="A65" t="s">
        <v>536</v>
      </c>
    </row>
    <row r="66" spans="1:2">
      <c r="A66">
        <v>1</v>
      </c>
      <c r="B66" t="s">
        <v>547</v>
      </c>
    </row>
    <row r="67" spans="1:2">
      <c r="A67">
        <v>2</v>
      </c>
      <c r="B67" t="s">
        <v>548</v>
      </c>
    </row>
    <row r="68" spans="1:2">
      <c r="A68">
        <v>3</v>
      </c>
      <c r="B68" s="93" t="s">
        <v>588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2" t="s">
        <v>581</v>
      </c>
      <c r="B2" s="412"/>
      <c r="C2" s="412"/>
      <c r="D2" s="412"/>
      <c r="E2" s="412"/>
      <c r="F2" s="412"/>
      <c r="G2" s="412"/>
      <c r="H2" s="412"/>
      <c r="I2" s="412"/>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549</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321.75</v>
      </c>
      <c r="D9" s="204">
        <f>'10.Grain Production details'!C92</f>
        <v>346.50000000000006</v>
      </c>
      <c r="E9" s="204">
        <f>'10.Grain Production details'!D92</f>
        <v>371.25000000000011</v>
      </c>
      <c r="F9" s="204">
        <f>'10.Grain Production details'!E92</f>
        <v>396.00000000000011</v>
      </c>
      <c r="G9" s="204">
        <f>'10.Grain Production details'!F92</f>
        <v>420.75000000000017</v>
      </c>
      <c r="H9" s="204">
        <f>'10.Grain Production details'!G92</f>
        <v>445.50000000000017</v>
      </c>
      <c r="I9" s="204">
        <f>'10.Grain Production details'!H92</f>
        <v>470.25000000000017</v>
      </c>
    </row>
    <row r="10" spans="1:9">
      <c r="A10" s="98" t="str">
        <f>'10.Grain Production details'!A93</f>
        <v>Tur</v>
      </c>
      <c r="B10" s="204"/>
      <c r="C10" s="204">
        <f>'10.Grain Production details'!B93</f>
        <v>35.75</v>
      </c>
      <c r="D10" s="204">
        <f>'10.Grain Production details'!C93</f>
        <v>38.500000000000007</v>
      </c>
      <c r="E10" s="204">
        <f>'10.Grain Production details'!D93</f>
        <v>41.250000000000014</v>
      </c>
      <c r="F10" s="204">
        <f>'10.Grain Production details'!E93</f>
        <v>44.000000000000021</v>
      </c>
      <c r="G10" s="204">
        <f>'10.Grain Production details'!F93</f>
        <v>46.750000000000021</v>
      </c>
      <c r="H10" s="204">
        <f>'10.Grain Production details'!G93</f>
        <v>49.500000000000028</v>
      </c>
      <c r="I10" s="204">
        <f>'10.Grain Production details'!H93</f>
        <v>52.250000000000028</v>
      </c>
    </row>
    <row r="11" spans="1:9">
      <c r="A11" s="98" t="str">
        <f>'10.Grain Production details'!A94</f>
        <v>Turmeric</v>
      </c>
      <c r="B11" s="204"/>
      <c r="C11" s="204">
        <f>'10.Grain Production details'!B94</f>
        <v>250.25</v>
      </c>
      <c r="D11" s="204">
        <f>'10.Grain Production details'!C94</f>
        <v>269.5</v>
      </c>
      <c r="E11" s="204">
        <f>'10.Grain Production details'!D94</f>
        <v>288.75</v>
      </c>
      <c r="F11" s="204">
        <f>'10.Grain Production details'!E94</f>
        <v>308</v>
      </c>
      <c r="G11" s="204">
        <f>'10.Grain Production details'!F94</f>
        <v>327.25000000000006</v>
      </c>
      <c r="H11" s="204">
        <f>'10.Grain Production details'!G94</f>
        <v>346.50000000000011</v>
      </c>
      <c r="I11" s="204">
        <f>'10.Grain Production details'!H94</f>
        <v>365.75000000000011</v>
      </c>
    </row>
    <row r="12" spans="1:9">
      <c r="A12" s="98" t="str">
        <f>'10.Grain Production details'!A95</f>
        <v>Moong</v>
      </c>
      <c r="B12" s="204"/>
      <c r="C12" s="204">
        <f>'10.Grain Production details'!B95</f>
        <v>35.75</v>
      </c>
      <c r="D12" s="204">
        <f>'10.Grain Production details'!C95</f>
        <v>38.500000000000007</v>
      </c>
      <c r="E12" s="204">
        <f>'10.Grain Production details'!D95</f>
        <v>41.250000000000014</v>
      </c>
      <c r="F12" s="204">
        <f>'10.Grain Production details'!E95</f>
        <v>44.000000000000021</v>
      </c>
      <c r="G12" s="204">
        <f>'10.Grain Production details'!F95</f>
        <v>46.750000000000021</v>
      </c>
      <c r="H12" s="204">
        <f>'10.Grain Production details'!G95</f>
        <v>49.500000000000028</v>
      </c>
      <c r="I12" s="204">
        <f>'10.Grain Production details'!H95</f>
        <v>52.250000000000028</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35.75</v>
      </c>
      <c r="D14" s="204">
        <f>'10.Grain Production details'!C97</f>
        <v>38.500000000000007</v>
      </c>
      <c r="E14" s="204">
        <f>'10.Grain Production details'!D97</f>
        <v>41.250000000000014</v>
      </c>
      <c r="F14" s="204">
        <f>'10.Grain Production details'!E97</f>
        <v>44.000000000000021</v>
      </c>
      <c r="G14" s="204">
        <f>'10.Grain Production details'!F97</f>
        <v>46.750000000000021</v>
      </c>
      <c r="H14" s="204">
        <f>'10.Grain Production details'!G97</f>
        <v>49.500000000000028</v>
      </c>
      <c r="I14" s="204">
        <f>'10.Grain Production details'!H97</f>
        <v>52.250000000000028</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35.75</v>
      </c>
      <c r="D16" s="204">
        <f>'10.Grain Production details'!C99</f>
        <v>38.500000000000007</v>
      </c>
      <c r="E16" s="204">
        <f>'10.Grain Production details'!D99</f>
        <v>41.250000000000014</v>
      </c>
      <c r="F16" s="204">
        <f>'10.Grain Production details'!E99</f>
        <v>44.000000000000021</v>
      </c>
      <c r="G16" s="204">
        <f>'10.Grain Production details'!F99</f>
        <v>46.750000000000021</v>
      </c>
      <c r="H16" s="204">
        <f>'10.Grain Production details'!G99</f>
        <v>49.500000000000028</v>
      </c>
      <c r="I16" s="204">
        <f>'10.Grain Production details'!H99</f>
        <v>52.250000000000028</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64.350000000000009</v>
      </c>
      <c r="D18" s="204">
        <f>'10.Grain Production details'!C101</f>
        <v>69.300000000000011</v>
      </c>
      <c r="E18" s="204">
        <f>'10.Grain Production details'!D101</f>
        <v>74.250000000000014</v>
      </c>
      <c r="F18" s="204">
        <f>'10.Grain Production details'!E101</f>
        <v>79.200000000000017</v>
      </c>
      <c r="G18" s="204">
        <f>'10.Grain Production details'!F101</f>
        <v>84.15000000000002</v>
      </c>
      <c r="H18" s="204">
        <f>'10.Grain Production details'!G101</f>
        <v>89.100000000000023</v>
      </c>
      <c r="I18" s="204">
        <f>'10.Grain Production details'!H101</f>
        <v>94.050000000000026</v>
      </c>
    </row>
    <row r="19" spans="1:9">
      <c r="A19" s="98" t="str">
        <f>'10.Grain Production details'!A102</f>
        <v>Channa</v>
      </c>
      <c r="B19" s="204"/>
      <c r="C19" s="204">
        <f>'10.Grain Production details'!B102</f>
        <v>300.29999999999995</v>
      </c>
      <c r="D19" s="204">
        <f>'10.Grain Production details'!C102</f>
        <v>323.39999999999998</v>
      </c>
      <c r="E19" s="204">
        <f>'10.Grain Production details'!D102</f>
        <v>346.5</v>
      </c>
      <c r="F19" s="204">
        <f>'10.Grain Production details'!E102</f>
        <v>369.6</v>
      </c>
      <c r="G19" s="204">
        <f>'10.Grain Production details'!F102</f>
        <v>392.70000000000005</v>
      </c>
      <c r="H19" s="204">
        <f>'10.Grain Production details'!G102</f>
        <v>415.80000000000007</v>
      </c>
      <c r="I19" s="204">
        <f>'10.Grain Production details'!H102</f>
        <v>438.90000000000009</v>
      </c>
    </row>
    <row r="20" spans="1:9">
      <c r="A20" s="98" t="str">
        <f>'10.Grain Production details'!A103</f>
        <v>Jawar</v>
      </c>
      <c r="B20" s="204"/>
      <c r="C20" s="204">
        <f>'10.Grain Production details'!B103</f>
        <v>42.9</v>
      </c>
      <c r="D20" s="204">
        <f>'10.Grain Production details'!C103</f>
        <v>46.2</v>
      </c>
      <c r="E20" s="204">
        <f>'10.Grain Production details'!D103</f>
        <v>49.500000000000007</v>
      </c>
      <c r="F20" s="204">
        <f>'10.Grain Production details'!E103</f>
        <v>52.800000000000011</v>
      </c>
      <c r="G20" s="204">
        <f>'10.Grain Production details'!F103</f>
        <v>56.100000000000016</v>
      </c>
      <c r="H20" s="204">
        <f>'10.Grain Production details'!G103</f>
        <v>59.400000000000013</v>
      </c>
      <c r="I20" s="204">
        <f>'10.Grain Production details'!H103</f>
        <v>62.700000000000017</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21.45</v>
      </c>
      <c r="D23" s="204">
        <f>'10.Grain Production details'!C106</f>
        <v>23.1</v>
      </c>
      <c r="E23" s="204">
        <f>'10.Grain Production details'!D106</f>
        <v>24.750000000000004</v>
      </c>
      <c r="F23" s="204">
        <f>'10.Grain Production details'!E106</f>
        <v>26.400000000000006</v>
      </c>
      <c r="G23" s="204">
        <f>'10.Grain Production details'!F106</f>
        <v>28.050000000000008</v>
      </c>
      <c r="H23" s="204">
        <f>'10.Grain Production details'!G106</f>
        <v>29.700000000000006</v>
      </c>
      <c r="I23" s="204">
        <f>'10.Grain Production details'!H106</f>
        <v>31.350000000000009</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3.5750000000000002</v>
      </c>
      <c r="D27" s="204">
        <f>'10.Grain Production details'!C110</f>
        <v>3.8500000000000005</v>
      </c>
      <c r="E27" s="204">
        <f>'10.Grain Production details'!D110</f>
        <v>4.1250000000000009</v>
      </c>
      <c r="F27" s="204">
        <f>'10.Grain Production details'!E110</f>
        <v>4.4000000000000012</v>
      </c>
      <c r="G27" s="204">
        <f>'10.Grain Production details'!F110</f>
        <v>4.6750000000000016</v>
      </c>
      <c r="H27" s="204">
        <f>'10.Grain Production details'!G110</f>
        <v>4.950000000000002</v>
      </c>
      <c r="I27" s="204">
        <f>'10.Grain Production details'!H110</f>
        <v>5.2250000000000023</v>
      </c>
    </row>
    <row r="28" spans="1:9">
      <c r="A28" s="98" t="str">
        <f>'10.Grain Production details'!A110</f>
        <v>Paddy</v>
      </c>
      <c r="B28" s="204"/>
      <c r="C28" s="204">
        <f>'10.Grain Production details'!B111</f>
        <v>3.5750000000000002</v>
      </c>
      <c r="D28" s="204">
        <f>'10.Grain Production details'!C111</f>
        <v>3.8500000000000005</v>
      </c>
      <c r="E28" s="204">
        <f>'10.Grain Production details'!D111</f>
        <v>4.1250000000000009</v>
      </c>
      <c r="F28" s="204">
        <f>'10.Grain Production details'!E111</f>
        <v>4.4000000000000012</v>
      </c>
      <c r="G28" s="204">
        <f>'10.Grain Production details'!F111</f>
        <v>4.6750000000000016</v>
      </c>
      <c r="H28" s="204">
        <f>'10.Grain Production details'!G111</f>
        <v>4.950000000000002</v>
      </c>
      <c r="I28" s="204">
        <f>'10.Grain Production details'!H111</f>
        <v>5.2250000000000023</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t="str">
        <f t="shared" si="0"/>
        <v>Paddy</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2" t="s">
        <v>582</v>
      </c>
      <c r="B122" s="412"/>
      <c r="C122" s="412"/>
      <c r="D122" s="412"/>
      <c r="E122" s="412"/>
      <c r="F122" s="412"/>
      <c r="G122" s="412"/>
      <c r="H122" s="412"/>
      <c r="I122" s="412"/>
      <c r="J122" s="412"/>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t="str">
        <f t="shared" si="52"/>
        <v>Paddy</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Paddy</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3" t="s">
        <v>420</v>
      </c>
      <c r="B279" s="413"/>
      <c r="C279" s="413"/>
      <c r="D279" s="413"/>
      <c r="E279" s="413"/>
      <c r="F279" s="413"/>
      <c r="G279" s="413"/>
      <c r="H279" s="413"/>
      <c r="I279" s="413"/>
      <c r="J279" s="413"/>
    </row>
    <row r="281" spans="1:23">
      <c r="A281" t="s">
        <v>536</v>
      </c>
    </row>
    <row r="282" spans="1:23">
      <c r="A282">
        <v>1</v>
      </c>
      <c r="B282" t="s">
        <v>547</v>
      </c>
    </row>
    <row r="283" spans="1:23">
      <c r="A283">
        <v>2</v>
      </c>
      <c r="B283" t="s">
        <v>548</v>
      </c>
    </row>
    <row r="284" spans="1:23">
      <c r="A284">
        <v>3</v>
      </c>
      <c r="B284" s="93" t="s">
        <v>588</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view="pageBreakPreview" zoomScale="80" zoomScaleSheetLayoutView="80" workbookViewId="0">
      <selection activeCell="B5" sqref="B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2" t="s">
        <v>583</v>
      </c>
      <c r="B3" s="412"/>
      <c r="C3" s="412"/>
      <c r="D3" s="412"/>
      <c r="E3" s="412"/>
      <c r="F3" s="412"/>
      <c r="G3" s="412"/>
      <c r="H3" s="412"/>
    </row>
    <row r="4" spans="1:8" ht="18.75">
      <c r="A4" s="412" t="s">
        <v>584</v>
      </c>
      <c r="B4" s="412"/>
      <c r="C4" s="412"/>
      <c r="D4" s="412"/>
      <c r="E4" s="412"/>
      <c r="F4" s="412"/>
      <c r="G4" s="412"/>
      <c r="H4" s="412"/>
    </row>
    <row r="5" spans="1:8">
      <c r="A5" s="93" t="s">
        <v>159</v>
      </c>
      <c r="B5" s="240">
        <v>1</v>
      </c>
      <c r="C5" s="93" t="s">
        <v>474</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465</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475</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520</v>
      </c>
      <c r="B125" s="95">
        <f>(B$62*50%)*0.7*2</f>
        <v>0</v>
      </c>
      <c r="C125" s="95">
        <f>(C$62*50%)*0.7</f>
        <v>0</v>
      </c>
      <c r="D125" s="95">
        <f t="shared" si="18"/>
        <v>0</v>
      </c>
      <c r="E125" s="95">
        <f t="shared" si="18"/>
        <v>0</v>
      </c>
      <c r="F125" s="95">
        <f t="shared" si="18"/>
        <v>0</v>
      </c>
      <c r="G125" s="95">
        <f t="shared" si="18"/>
        <v>0</v>
      </c>
      <c r="H125" s="95">
        <f t="shared" si="18"/>
        <v>0</v>
      </c>
    </row>
    <row r="126" spans="1:8">
      <c r="A126" s="94" t="s">
        <v>521</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452</v>
      </c>
    </row>
    <row r="141" spans="1:8">
      <c r="A141" t="s">
        <v>525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2" t="s">
        <v>585</v>
      </c>
      <c r="B147" s="412"/>
      <c r="C147" s="412"/>
      <c r="D147" s="412"/>
      <c r="E147" s="412"/>
      <c r="F147" s="412"/>
      <c r="G147" s="412"/>
      <c r="H147" s="412"/>
      <c r="I147" s="412"/>
      <c r="J147" s="412"/>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524</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523</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528</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529</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Details'!H67*0.746*8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3" t="s">
        <v>423</v>
      </c>
      <c r="B192" s="413"/>
      <c r="C192" s="413"/>
      <c r="D192" s="413"/>
      <c r="E192" s="413"/>
      <c r="F192" s="413"/>
      <c r="G192" s="413"/>
      <c r="H192" s="413"/>
      <c r="I192" s="413"/>
      <c r="J192" s="413"/>
    </row>
    <row r="194" spans="1:5">
      <c r="A194" t="s">
        <v>536</v>
      </c>
    </row>
    <row r="195" spans="1:5">
      <c r="A195">
        <v>1</v>
      </c>
      <c r="B195" t="s">
        <v>547</v>
      </c>
    </row>
    <row r="196" spans="1:5">
      <c r="A196">
        <v>2</v>
      </c>
      <c r="B196" t="s">
        <v>548</v>
      </c>
      <c r="C196" s="67"/>
      <c r="D196" s="67"/>
      <c r="E196" s="67"/>
    </row>
    <row r="197" spans="1:5">
      <c r="A197">
        <v>3</v>
      </c>
      <c r="B197" s="93" t="s">
        <v>588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M34"/>
  <sheetViews>
    <sheetView tabSelected="1" view="pageBreakPreview" zoomScaleSheetLayoutView="100" workbookViewId="0">
      <selection activeCell="D1" sqref="D1"/>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89" t="s">
        <v>702</v>
      </c>
    </row>
    <row r="3" spans="1:13" ht="18.75">
      <c r="B3" s="412" t="s">
        <v>703</v>
      </c>
      <c r="C3" s="412"/>
      <c r="D3" s="412"/>
      <c r="E3" s="412"/>
      <c r="F3" s="412"/>
    </row>
    <row r="5" spans="1:13">
      <c r="B5" s="334" t="s">
        <v>144</v>
      </c>
      <c r="C5" s="334" t="s">
        <v>128</v>
      </c>
      <c r="D5" s="334" t="s">
        <v>156</v>
      </c>
      <c r="E5" s="339" t="s">
        <v>468</v>
      </c>
      <c r="F5" s="339" t="s">
        <v>469</v>
      </c>
    </row>
    <row r="6" spans="1:13">
      <c r="B6" s="335">
        <v>1</v>
      </c>
      <c r="C6" s="336" t="str">
        <f>'2.Capex Details'!B2</f>
        <v>Land, Building, Shed and Warehouse</v>
      </c>
      <c r="D6" s="340">
        <f>'2.Capex Details'!G12</f>
        <v>2500000</v>
      </c>
      <c r="E6" s="341">
        <v>0.6</v>
      </c>
      <c r="F6" s="342">
        <f>D6*E6</f>
        <v>1500000</v>
      </c>
    </row>
    <row r="7" spans="1:13">
      <c r="B7" s="335">
        <v>2</v>
      </c>
      <c r="C7" s="336" t="str">
        <f>'2.Capex Details'!B17</f>
        <v>Machinery and Equipment</v>
      </c>
      <c r="D7" s="340">
        <f>'2.Capex Details'!G69</f>
        <v>2500008</v>
      </c>
      <c r="E7" s="341">
        <v>0.6</v>
      </c>
      <c r="F7" s="342">
        <f t="shared" ref="F7:F11" si="0">D7*E7</f>
        <v>1500004.8</v>
      </c>
    </row>
    <row r="8" spans="1:13">
      <c r="B8" s="335">
        <v>3</v>
      </c>
      <c r="C8" s="336" t="str">
        <f>'2.Capex Details'!B84</f>
        <v>Furniture and Fixture</v>
      </c>
      <c r="D8" s="340">
        <f>'2.Capex Details'!F92</f>
        <v>100000</v>
      </c>
      <c r="E8" s="341">
        <v>0.6</v>
      </c>
      <c r="F8" s="342">
        <f t="shared" si="0"/>
        <v>60000</v>
      </c>
    </row>
    <row r="9" spans="1:13">
      <c r="B9" s="335">
        <v>4</v>
      </c>
      <c r="C9" s="336" t="str">
        <f>'2.Capex Details'!B96</f>
        <v>IT &amp; It Infrastracture</v>
      </c>
      <c r="D9" s="340">
        <f>'2.Capex Details'!F105</f>
        <v>100000</v>
      </c>
      <c r="E9" s="341">
        <v>0.6</v>
      </c>
      <c r="F9" s="342">
        <f t="shared" si="0"/>
        <v>60000</v>
      </c>
    </row>
    <row r="10" spans="1:13">
      <c r="B10" s="335">
        <v>5</v>
      </c>
      <c r="C10" s="336" t="str">
        <f>'2.Capex Details'!B110</f>
        <v>Transport vehical  (Refer van and other)</v>
      </c>
      <c r="D10" s="340">
        <f>'2.Capex Details'!F116</f>
        <v>0</v>
      </c>
      <c r="E10" s="341">
        <v>0.6</v>
      </c>
      <c r="F10" s="342">
        <f t="shared" si="0"/>
        <v>0</v>
      </c>
    </row>
    <row r="11" spans="1:13">
      <c r="B11" s="335">
        <v>6</v>
      </c>
      <c r="C11" s="336" t="str">
        <f>'2.Capex Details'!B118</f>
        <v>Preliminary Expenses</v>
      </c>
      <c r="D11" s="340">
        <f>'2.Capex Details'!D125</f>
        <v>350000</v>
      </c>
      <c r="E11" s="341">
        <v>0.6</v>
      </c>
      <c r="F11" s="342">
        <f t="shared" si="0"/>
        <v>210000</v>
      </c>
      <c r="L11" t="s">
        <v>415</v>
      </c>
    </row>
    <row r="12" spans="1:13">
      <c r="B12" s="335">
        <v>7</v>
      </c>
      <c r="C12" s="336" t="s">
        <v>154</v>
      </c>
      <c r="D12" s="340">
        <f>'5.Closing Stock &amp; W Capital'!E51</f>
        <v>2727533.8235299322</v>
      </c>
      <c r="E12" s="343"/>
      <c r="F12" s="343"/>
    </row>
    <row r="13" spans="1:13">
      <c r="B13" s="411" t="s">
        <v>1</v>
      </c>
      <c r="C13" s="411"/>
      <c r="D13" s="344">
        <f>SUM(D6:D12)</f>
        <v>8277541.8235299326</v>
      </c>
      <c r="E13" s="343"/>
      <c r="F13" s="344">
        <f>SUM(F6:F12)</f>
        <v>3330004.8</v>
      </c>
    </row>
    <row r="14" spans="1:13">
      <c r="D14" s="22"/>
      <c r="M14">
        <v>48</v>
      </c>
    </row>
    <row r="15" spans="1:13" ht="25.5" customHeight="1">
      <c r="A15" s="414" t="s">
        <v>416</v>
      </c>
      <c r="B15" s="414"/>
      <c r="C15" s="414"/>
      <c r="D15" s="414"/>
      <c r="E15" s="414"/>
      <c r="F15" s="414"/>
      <c r="M15">
        <v>11.64</v>
      </c>
    </row>
    <row r="16" spans="1:13">
      <c r="M16">
        <f>M14+M15</f>
        <v>59.64</v>
      </c>
    </row>
    <row r="17" spans="2:13" ht="18.75">
      <c r="B17" s="412" t="s">
        <v>704</v>
      </c>
      <c r="C17" s="412"/>
      <c r="D17" s="412"/>
      <c r="E17" s="412"/>
      <c r="F17" s="209"/>
      <c r="M17">
        <v>19.05</v>
      </c>
    </row>
    <row r="18" spans="2:13">
      <c r="M18">
        <f>M16+M17</f>
        <v>78.69</v>
      </c>
    </row>
    <row r="19" spans="2:13">
      <c r="B19" s="333" t="s">
        <v>144</v>
      </c>
      <c r="C19" s="334" t="s">
        <v>128</v>
      </c>
      <c r="D19" s="334" t="s">
        <v>635</v>
      </c>
      <c r="E19" s="334" t="s">
        <v>156</v>
      </c>
    </row>
    <row r="20" spans="2:13">
      <c r="B20" s="335">
        <v>1</v>
      </c>
      <c r="C20" s="336" t="s">
        <v>331</v>
      </c>
      <c r="D20" s="372"/>
      <c r="E20" s="337">
        <f>F13</f>
        <v>3330004.8</v>
      </c>
    </row>
    <row r="21" spans="2:13">
      <c r="B21" s="335">
        <v>2</v>
      </c>
      <c r="C21" s="336" t="s">
        <v>155</v>
      </c>
      <c r="D21" s="366">
        <v>0</v>
      </c>
      <c r="E21" s="337">
        <f>SUM(D6:D10)*D21</f>
        <v>0</v>
      </c>
    </row>
    <row r="22" spans="2:13">
      <c r="B22" s="335">
        <v>3</v>
      </c>
      <c r="C22" s="336" t="s">
        <v>134</v>
      </c>
      <c r="D22" s="337"/>
      <c r="E22" s="337">
        <f>D13-E20-E21</f>
        <v>4947537.0235299328</v>
      </c>
    </row>
    <row r="23" spans="2:13">
      <c r="B23" s="411" t="s">
        <v>1</v>
      </c>
      <c r="C23" s="411"/>
      <c r="D23" s="338"/>
      <c r="E23" s="338">
        <f>SUM(E20:E22)</f>
        <v>8277541.8235299326</v>
      </c>
    </row>
    <row r="25" spans="2:13">
      <c r="B25" s="413" t="s">
        <v>417</v>
      </c>
      <c r="C25" s="413"/>
      <c r="D25" s="413"/>
      <c r="E25" s="413"/>
      <c r="F25" s="413"/>
    </row>
    <row r="27" spans="2:13" ht="18.75">
      <c r="B27" s="415" t="s">
        <v>711</v>
      </c>
      <c r="C27" s="415"/>
      <c r="D27" s="415"/>
      <c r="E27" s="415"/>
      <c r="F27" s="415"/>
      <c r="G27" s="415"/>
    </row>
    <row r="28" spans="2:13">
      <c r="B28" s="345" t="s">
        <v>144</v>
      </c>
      <c r="C28" s="346" t="s">
        <v>591</v>
      </c>
      <c r="D28" s="347" t="s">
        <v>592</v>
      </c>
      <c r="E28" s="348" t="s">
        <v>593</v>
      </c>
      <c r="F28" s="409" t="s">
        <v>594</v>
      </c>
      <c r="G28" s="410"/>
    </row>
    <row r="29" spans="2:13" ht="25.5">
      <c r="B29" s="349">
        <v>1</v>
      </c>
      <c r="C29" s="336" t="s">
        <v>375</v>
      </c>
      <c r="D29" s="350">
        <f>'9. Financial indiacators'!C49</f>
        <v>0.56481011285282412</v>
      </c>
      <c r="E29" s="349" t="s">
        <v>376</v>
      </c>
      <c r="F29" s="356" t="s">
        <v>595</v>
      </c>
      <c r="G29" s="349" t="s">
        <v>377</v>
      </c>
    </row>
    <row r="30" spans="2:13" ht="38.25">
      <c r="B30" s="349">
        <v>2</v>
      </c>
      <c r="C30" s="336" t="s">
        <v>378</v>
      </c>
      <c r="D30" s="351">
        <f>'9. Financial indiacators'!C85</f>
        <v>0.24261724203771987</v>
      </c>
      <c r="E30" s="349" t="s">
        <v>376</v>
      </c>
      <c r="F30" s="356" t="s">
        <v>596</v>
      </c>
      <c r="G30" s="349" t="s">
        <v>379</v>
      </c>
    </row>
    <row r="31" spans="2:13" ht="38.25">
      <c r="B31" s="349">
        <v>3</v>
      </c>
      <c r="C31" s="336" t="s">
        <v>380</v>
      </c>
      <c r="D31" s="350">
        <f>'9. Financial indiacators'!C16</f>
        <v>0.13799901362532066</v>
      </c>
      <c r="E31" s="349" t="s">
        <v>376</v>
      </c>
      <c r="F31" s="356" t="s">
        <v>597</v>
      </c>
      <c r="G31" s="349" t="s">
        <v>381</v>
      </c>
    </row>
    <row r="32" spans="2:13" ht="63.75">
      <c r="B32" s="349">
        <v>4</v>
      </c>
      <c r="C32" s="336" t="s">
        <v>382</v>
      </c>
      <c r="D32" s="352">
        <f>'9. Financial indiacators'!C73</f>
        <v>1563769.1269044839</v>
      </c>
      <c r="E32" s="349" t="s">
        <v>386</v>
      </c>
      <c r="F32" s="356" t="s">
        <v>598</v>
      </c>
      <c r="G32" s="349" t="s">
        <v>383</v>
      </c>
    </row>
    <row r="33" spans="2:7" ht="38.25">
      <c r="B33" s="349">
        <v>5</v>
      </c>
      <c r="C33" s="336" t="s">
        <v>384</v>
      </c>
      <c r="D33" s="353">
        <f>'9. Financial indiacators'!D101</f>
        <v>5.1680842121515074</v>
      </c>
      <c r="E33" s="349" t="s">
        <v>376</v>
      </c>
      <c r="F33" s="356" t="s">
        <v>599</v>
      </c>
      <c r="G33" s="349" t="s">
        <v>387</v>
      </c>
    </row>
    <row r="34" spans="2:7" ht="38.25">
      <c r="B34" s="349">
        <v>6</v>
      </c>
      <c r="C34" s="354" t="s">
        <v>385</v>
      </c>
      <c r="D34" s="353" t="e">
        <f>'9. Financial indiacators'!C119</f>
        <v>#DIV/0!</v>
      </c>
      <c r="E34" s="355" t="s">
        <v>376</v>
      </c>
      <c r="F34" s="356" t="s">
        <v>600</v>
      </c>
      <c r="G34" s="354" t="s">
        <v>388</v>
      </c>
    </row>
  </sheetData>
  <mergeCells count="8">
    <mergeCell ref="F28:G28"/>
    <mergeCell ref="B13:C13"/>
    <mergeCell ref="B23:C23"/>
    <mergeCell ref="B3:F3"/>
    <mergeCell ref="B25:F25"/>
    <mergeCell ref="A15:F15"/>
    <mergeCell ref="B27:G27"/>
    <mergeCell ref="B17:E17"/>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dimension ref="A2:K127"/>
  <sheetViews>
    <sheetView view="pageBreakPreview" topLeftCell="A53" zoomScale="80" zoomScaleSheetLayoutView="80" workbookViewId="0">
      <selection activeCell="E111" sqref="E111"/>
    </sheetView>
  </sheetViews>
  <sheetFormatPr defaultRowHeight="15"/>
  <cols>
    <col min="2" max="2" width="7.5703125" bestFit="1" customWidth="1"/>
    <col min="3" max="3" width="41.5703125" customWidth="1"/>
    <col min="4" max="4" width="11.5703125" customWidth="1"/>
    <col min="5" max="5" width="17" customWidth="1"/>
    <col min="6" max="6" width="14" bestFit="1" customWidth="1"/>
    <col min="7" max="7" width="12.28515625" customWidth="1"/>
    <col min="8" max="8" width="11.5703125" bestFit="1" customWidth="1"/>
  </cols>
  <sheetData>
    <row r="2" spans="1:7" ht="18.75">
      <c r="A2" s="5" t="s">
        <v>705</v>
      </c>
      <c r="B2" s="412" t="s">
        <v>684</v>
      </c>
      <c r="C2" s="412"/>
      <c r="D2" s="412"/>
      <c r="E2" s="412"/>
      <c r="F2" s="412"/>
      <c r="G2" s="412"/>
    </row>
    <row r="4" spans="1:7" ht="28.5">
      <c r="B4" s="214" t="s">
        <v>144</v>
      </c>
      <c r="C4" s="214" t="s">
        <v>128</v>
      </c>
      <c r="D4" s="214" t="s">
        <v>132</v>
      </c>
      <c r="E4" s="214" t="s">
        <v>145</v>
      </c>
      <c r="F4" s="214" t="s">
        <v>146</v>
      </c>
      <c r="G4" s="214" t="s">
        <v>156</v>
      </c>
    </row>
    <row r="5" spans="1:7">
      <c r="B5" s="373">
        <v>1</v>
      </c>
      <c r="C5" s="373" t="s">
        <v>147</v>
      </c>
      <c r="D5" s="373" t="s">
        <v>148</v>
      </c>
      <c r="E5" s="390">
        <v>1</v>
      </c>
      <c r="F5" s="390">
        <v>2740000</v>
      </c>
      <c r="G5" s="357" t="s">
        <v>699</v>
      </c>
    </row>
    <row r="6" spans="1:7">
      <c r="B6" s="373">
        <v>2</v>
      </c>
      <c r="C6" s="373" t="s">
        <v>716</v>
      </c>
      <c r="D6" s="374"/>
      <c r="E6" s="375">
        <v>1</v>
      </c>
      <c r="F6" s="390">
        <v>2000000</v>
      </c>
      <c r="G6" s="377">
        <f>E6*F6</f>
        <v>2000000</v>
      </c>
    </row>
    <row r="7" spans="1:7">
      <c r="B7" s="373">
        <v>3</v>
      </c>
      <c r="C7" s="373" t="s">
        <v>717</v>
      </c>
      <c r="D7" s="374"/>
      <c r="E7" s="375">
        <v>1</v>
      </c>
      <c r="F7" s="390">
        <v>500000</v>
      </c>
      <c r="G7" s="377">
        <f t="shared" ref="G7:G11" si="0">E7*F7</f>
        <v>500000</v>
      </c>
    </row>
    <row r="8" spans="1:7">
      <c r="B8" s="373"/>
      <c r="C8" s="373"/>
      <c r="D8" s="374"/>
      <c r="E8" s="375"/>
      <c r="F8" s="376"/>
      <c r="G8" s="377">
        <f t="shared" si="0"/>
        <v>0</v>
      </c>
    </row>
    <row r="9" spans="1:7">
      <c r="B9" s="373"/>
      <c r="C9" s="373"/>
      <c r="D9" s="374"/>
      <c r="E9" s="375"/>
      <c r="F9" s="376"/>
      <c r="G9" s="377">
        <f t="shared" si="0"/>
        <v>0</v>
      </c>
    </row>
    <row r="10" spans="1:7">
      <c r="B10" s="373"/>
      <c r="C10" s="373"/>
      <c r="D10" s="374"/>
      <c r="E10" s="375"/>
      <c r="F10" s="376"/>
      <c r="G10" s="377">
        <f t="shared" si="0"/>
        <v>0</v>
      </c>
    </row>
    <row r="11" spans="1:7">
      <c r="B11" s="373"/>
      <c r="C11" s="373"/>
      <c r="D11" s="374"/>
      <c r="E11" s="375"/>
      <c r="F11" s="376"/>
      <c r="G11" s="377">
        <f t="shared" si="0"/>
        <v>0</v>
      </c>
    </row>
    <row r="12" spans="1:7">
      <c r="B12" s="416" t="s">
        <v>1</v>
      </c>
      <c r="C12" s="416"/>
      <c r="D12" s="416"/>
      <c r="E12" s="416"/>
      <c r="F12" s="416"/>
      <c r="G12" s="228">
        <f>SUM(G6:G11)</f>
        <v>2500000</v>
      </c>
    </row>
    <row r="15" spans="1:7">
      <c r="B15" s="413" t="s">
        <v>411</v>
      </c>
      <c r="C15" s="413"/>
      <c r="D15" s="413"/>
      <c r="E15" s="413"/>
      <c r="F15" s="413"/>
      <c r="G15" s="413"/>
    </row>
    <row r="17" spans="2:8" ht="18.75">
      <c r="B17" s="412" t="s">
        <v>153</v>
      </c>
      <c r="C17" s="412"/>
      <c r="D17" s="412"/>
      <c r="E17" s="412"/>
      <c r="F17" s="412"/>
      <c r="G17" s="412"/>
      <c r="H17" s="412"/>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18" t="s">
        <v>169</v>
      </c>
      <c r="C32" s="419"/>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18" t="s">
        <v>169</v>
      </c>
      <c r="C47" s="419"/>
      <c r="D47" s="232"/>
      <c r="E47" s="232"/>
      <c r="F47" s="235"/>
      <c r="G47" s="235">
        <f>SUM(G34:G46)</f>
        <v>0</v>
      </c>
      <c r="H47" s="235">
        <f>SUM(H34:H46)</f>
        <v>0</v>
      </c>
    </row>
    <row r="48" spans="2:8" hidden="1">
      <c r="B48" s="236"/>
      <c r="C48" s="237"/>
      <c r="D48" s="236"/>
      <c r="E48" s="236"/>
      <c r="F48" s="230"/>
      <c r="G48" s="230"/>
      <c r="H48" s="229"/>
    </row>
    <row r="49" spans="2:8">
      <c r="B49" s="378" t="s">
        <v>171</v>
      </c>
      <c r="C49" s="221"/>
      <c r="D49" s="379"/>
      <c r="E49" s="379"/>
      <c r="F49" s="380"/>
      <c r="G49" s="380">
        <f t="shared" ref="G49:G58" si="4">E49*F49</f>
        <v>0</v>
      </c>
      <c r="H49" s="98"/>
    </row>
    <row r="50" spans="2:8">
      <c r="B50" s="378"/>
      <c r="C50" s="221" t="s">
        <v>718</v>
      </c>
      <c r="D50" s="223">
        <v>1</v>
      </c>
      <c r="E50" s="379">
        <v>1</v>
      </c>
      <c r="F50" s="380">
        <v>525000</v>
      </c>
      <c r="G50" s="380">
        <f t="shared" si="4"/>
        <v>525000</v>
      </c>
      <c r="H50" s="98"/>
    </row>
    <row r="51" spans="2:8">
      <c r="B51" s="378"/>
      <c r="C51" s="221" t="s">
        <v>719</v>
      </c>
      <c r="D51" s="223">
        <v>1</v>
      </c>
      <c r="E51" s="379">
        <v>1</v>
      </c>
      <c r="F51" s="380">
        <v>435000</v>
      </c>
      <c r="G51" s="380">
        <f t="shared" si="4"/>
        <v>435000</v>
      </c>
      <c r="H51" s="98"/>
    </row>
    <row r="52" spans="2:8">
      <c r="B52" s="378"/>
      <c r="C52" s="221" t="s">
        <v>720</v>
      </c>
      <c r="D52" s="223">
        <v>1</v>
      </c>
      <c r="E52" s="379">
        <v>1</v>
      </c>
      <c r="F52" s="380">
        <v>625000</v>
      </c>
      <c r="G52" s="380">
        <f t="shared" si="4"/>
        <v>625000</v>
      </c>
      <c r="H52" s="98"/>
    </row>
    <row r="53" spans="2:8">
      <c r="B53" s="378"/>
      <c r="C53" s="221" t="s">
        <v>721</v>
      </c>
      <c r="D53" s="223">
        <v>1</v>
      </c>
      <c r="E53" s="379">
        <v>1</v>
      </c>
      <c r="F53" s="380">
        <v>115000</v>
      </c>
      <c r="G53" s="380">
        <f t="shared" si="4"/>
        <v>115000</v>
      </c>
      <c r="H53" s="98"/>
    </row>
    <row r="54" spans="2:8">
      <c r="B54" s="378"/>
      <c r="C54" s="221" t="s">
        <v>722</v>
      </c>
      <c r="D54" s="223">
        <v>1</v>
      </c>
      <c r="E54" s="379">
        <v>1</v>
      </c>
      <c r="F54" s="380">
        <v>135000</v>
      </c>
      <c r="G54" s="380">
        <f t="shared" si="4"/>
        <v>135000</v>
      </c>
      <c r="H54" s="98"/>
    </row>
    <row r="55" spans="2:8">
      <c r="B55" s="378"/>
      <c r="C55" s="221" t="s">
        <v>723</v>
      </c>
      <c r="D55" s="223">
        <v>1</v>
      </c>
      <c r="E55" s="379">
        <v>1</v>
      </c>
      <c r="F55" s="380">
        <v>90000</v>
      </c>
      <c r="G55" s="380">
        <f t="shared" si="4"/>
        <v>90000</v>
      </c>
      <c r="H55" s="98"/>
    </row>
    <row r="56" spans="2:8">
      <c r="B56" s="378"/>
      <c r="C56" s="221" t="s">
        <v>724</v>
      </c>
      <c r="D56" s="223">
        <v>1</v>
      </c>
      <c r="E56" s="379">
        <v>1</v>
      </c>
      <c r="F56" s="380">
        <v>150000</v>
      </c>
      <c r="G56" s="380">
        <f t="shared" si="4"/>
        <v>150000</v>
      </c>
      <c r="H56" s="98"/>
    </row>
    <row r="57" spans="2:8">
      <c r="B57" s="378"/>
      <c r="C57" s="221" t="s">
        <v>725</v>
      </c>
      <c r="D57" s="223">
        <v>1</v>
      </c>
      <c r="E57" s="379">
        <v>1</v>
      </c>
      <c r="F57" s="380">
        <v>20600</v>
      </c>
      <c r="G57" s="380">
        <f t="shared" si="4"/>
        <v>20600</v>
      </c>
      <c r="H57" s="98"/>
    </row>
    <row r="58" spans="2:8">
      <c r="B58" s="378"/>
      <c r="C58" s="221" t="s">
        <v>726</v>
      </c>
      <c r="D58" s="223">
        <v>1</v>
      </c>
      <c r="E58" s="379">
        <v>1</v>
      </c>
      <c r="F58" s="380">
        <v>120000</v>
      </c>
      <c r="G58" s="380">
        <f t="shared" si="4"/>
        <v>120000</v>
      </c>
      <c r="H58" s="98"/>
    </row>
    <row r="59" spans="2:8">
      <c r="B59" s="378"/>
      <c r="C59" s="221"/>
      <c r="D59" s="223"/>
      <c r="E59" s="379"/>
      <c r="F59" s="380"/>
      <c r="G59" s="380"/>
      <c r="H59" s="98"/>
    </row>
    <row r="60" spans="2:8">
      <c r="B60" s="378"/>
      <c r="C60" s="221" t="s">
        <v>713</v>
      </c>
      <c r="D60" s="223">
        <v>1</v>
      </c>
      <c r="E60" s="379">
        <v>1</v>
      </c>
      <c r="F60" s="380">
        <f>142204*2</f>
        <v>284408</v>
      </c>
      <c r="G60" s="380">
        <f t="shared" ref="G60" si="5">E60*F60</f>
        <v>284408</v>
      </c>
      <c r="H60" s="98"/>
    </row>
    <row r="61" spans="2:8">
      <c r="B61" s="420" t="s">
        <v>169</v>
      </c>
      <c r="C61" s="420"/>
      <c r="D61" s="223"/>
      <c r="E61" s="379"/>
      <c r="F61" s="380"/>
      <c r="G61" s="380">
        <f>SUM(G50:G60)</f>
        <v>2500008</v>
      </c>
      <c r="H61" s="380">
        <f>SUM(H49:H57)</f>
        <v>0</v>
      </c>
    </row>
    <row r="62" spans="2:8" hidden="1">
      <c r="B62" s="232"/>
      <c r="C62" s="232"/>
      <c r="D62" s="237"/>
      <c r="E62" s="236"/>
      <c r="F62" s="230"/>
      <c r="G62" s="230"/>
      <c r="H62" s="230"/>
    </row>
    <row r="63" spans="2:8" hidden="1">
      <c r="B63" s="232" t="s">
        <v>174</v>
      </c>
      <c r="C63" s="232" t="s">
        <v>535</v>
      </c>
      <c r="D63" s="237"/>
      <c r="E63" s="236"/>
      <c r="F63" s="230"/>
      <c r="G63" s="230">
        <f>E63*F63</f>
        <v>0</v>
      </c>
      <c r="H63" s="230"/>
    </row>
    <row r="64" spans="2:8" hidden="1">
      <c r="B64" s="232"/>
      <c r="C64" s="232"/>
      <c r="D64" s="237"/>
      <c r="E64" s="236"/>
      <c r="F64" s="230"/>
      <c r="G64" s="230">
        <f t="shared" ref="G64:G66" si="6">E64*F64</f>
        <v>0</v>
      </c>
      <c r="H64" s="230"/>
    </row>
    <row r="65" spans="1:11" hidden="1">
      <c r="B65" s="232"/>
      <c r="C65" s="232"/>
      <c r="D65" s="237"/>
      <c r="E65" s="236"/>
      <c r="F65" s="230"/>
      <c r="G65" s="230">
        <f t="shared" si="6"/>
        <v>0</v>
      </c>
      <c r="H65" s="230"/>
    </row>
    <row r="66" spans="1:11" hidden="1">
      <c r="B66" s="232"/>
      <c r="C66" s="231"/>
      <c r="D66" s="237"/>
      <c r="E66" s="236"/>
      <c r="F66" s="230"/>
      <c r="G66" s="230">
        <f t="shared" si="6"/>
        <v>0</v>
      </c>
      <c r="H66" s="229"/>
    </row>
    <row r="67" spans="1:11" hidden="1">
      <c r="B67" s="424" t="s">
        <v>169</v>
      </c>
      <c r="C67" s="424"/>
      <c r="D67" s="237"/>
      <c r="E67" s="236"/>
      <c r="F67" s="230"/>
      <c r="G67" s="230">
        <f>SUM(G63:G66)</f>
        <v>0</v>
      </c>
      <c r="H67" s="230">
        <f>SUM(H63:H66)</f>
        <v>0</v>
      </c>
    </row>
    <row r="68" spans="1:11" hidden="1">
      <c r="B68" s="236"/>
      <c r="C68" s="237"/>
      <c r="D68" s="237"/>
      <c r="E68" s="236"/>
      <c r="F68" s="230"/>
      <c r="G68" s="230"/>
      <c r="H68" s="229"/>
    </row>
    <row r="69" spans="1:11">
      <c r="B69" s="417" t="s">
        <v>1</v>
      </c>
      <c r="C69" s="417"/>
      <c r="D69" s="417"/>
      <c r="E69" s="417"/>
      <c r="F69" s="417"/>
      <c r="G69" s="227">
        <f>G61+G47+G32+G67</f>
        <v>2500008</v>
      </c>
      <c r="H69" s="227">
        <f>H47+H21+H61+H67</f>
        <v>0</v>
      </c>
    </row>
    <row r="70" spans="1:11">
      <c r="B70" s="413" t="s">
        <v>412</v>
      </c>
      <c r="C70" s="413"/>
      <c r="D70" s="413"/>
      <c r="E70" s="413"/>
      <c r="F70" s="413"/>
      <c r="G70" s="413"/>
      <c r="H70" s="413"/>
    </row>
    <row r="71" spans="1:11" hidden="1">
      <c r="B71" s="19"/>
      <c r="G71" s="18"/>
      <c r="I71" s="19"/>
      <c r="J71" s="19"/>
      <c r="K71" s="20"/>
    </row>
    <row r="72" spans="1:11" hidden="1"/>
    <row r="73" spans="1:11" hidden="1"/>
    <row r="74" spans="1:11">
      <c r="A74" t="s">
        <v>714</v>
      </c>
      <c r="B74" t="s">
        <v>714</v>
      </c>
    </row>
    <row r="84" spans="1:7" ht="18.75">
      <c r="B84" s="412" t="s">
        <v>373</v>
      </c>
      <c r="C84" s="412"/>
      <c r="D84" s="412"/>
      <c r="E84" s="412"/>
      <c r="F84" s="412"/>
    </row>
    <row r="85" spans="1:7" ht="30">
      <c r="B85" s="23" t="s">
        <v>144</v>
      </c>
      <c r="C85" s="57" t="s">
        <v>128</v>
      </c>
      <c r="D85" s="57" t="s">
        <v>150</v>
      </c>
      <c r="E85" s="57" t="s">
        <v>151</v>
      </c>
      <c r="F85" s="57" t="s">
        <v>156</v>
      </c>
    </row>
    <row r="86" spans="1:7">
      <c r="B86" s="381">
        <v>1</v>
      </c>
      <c r="C86" s="382" t="s">
        <v>681</v>
      </c>
      <c r="D86" s="381">
        <v>1</v>
      </c>
      <c r="E86" s="383">
        <v>100000</v>
      </c>
      <c r="F86" s="384">
        <f t="shared" ref="F86:F91" si="7">D86*E86</f>
        <v>100000</v>
      </c>
    </row>
    <row r="87" spans="1:7" hidden="1">
      <c r="B87" s="381"/>
      <c r="C87" s="382"/>
      <c r="D87" s="381"/>
      <c r="E87" s="383"/>
      <c r="F87" s="384">
        <f t="shared" si="7"/>
        <v>0</v>
      </c>
    </row>
    <row r="88" spans="1:7" hidden="1">
      <c r="B88" s="381"/>
      <c r="C88" s="382"/>
      <c r="D88" s="381"/>
      <c r="E88" s="383"/>
      <c r="F88" s="384">
        <f t="shared" si="7"/>
        <v>0</v>
      </c>
    </row>
    <row r="89" spans="1:7" hidden="1">
      <c r="B89" s="381"/>
      <c r="C89" s="382"/>
      <c r="D89" s="381"/>
      <c r="E89" s="383"/>
      <c r="F89" s="384">
        <f t="shared" si="7"/>
        <v>0</v>
      </c>
    </row>
    <row r="90" spans="1:7" hidden="1">
      <c r="B90" s="381"/>
      <c r="C90" s="382"/>
      <c r="D90" s="381"/>
      <c r="E90" s="383"/>
      <c r="F90" s="384">
        <f t="shared" si="7"/>
        <v>0</v>
      </c>
    </row>
    <row r="91" spans="1:7">
      <c r="B91" s="381"/>
      <c r="C91" s="382"/>
      <c r="D91" s="381"/>
      <c r="E91" s="383"/>
      <c r="F91" s="384">
        <f t="shared" si="7"/>
        <v>0</v>
      </c>
    </row>
    <row r="92" spans="1:7">
      <c r="B92" s="426" t="s">
        <v>1</v>
      </c>
      <c r="C92" s="426"/>
      <c r="D92" s="426"/>
      <c r="E92" s="426"/>
      <c r="F92" s="21">
        <f>SUM(F86:F91)</f>
        <v>100000</v>
      </c>
    </row>
    <row r="93" spans="1:7">
      <c r="A93" s="413" t="s">
        <v>413</v>
      </c>
      <c r="B93" s="413"/>
      <c r="C93" s="413"/>
      <c r="D93" s="413"/>
      <c r="E93" s="413"/>
      <c r="F93" s="413"/>
      <c r="G93" s="413"/>
    </row>
    <row r="96" spans="1:7" ht="18.75">
      <c r="B96" s="412" t="s">
        <v>372</v>
      </c>
      <c r="C96" s="412"/>
      <c r="D96" s="412"/>
      <c r="E96" s="412"/>
      <c r="F96" s="412"/>
    </row>
    <row r="98" spans="1:7" ht="30">
      <c r="B98" s="23" t="s">
        <v>144</v>
      </c>
      <c r="C98" s="61" t="s">
        <v>128</v>
      </c>
      <c r="D98" s="61" t="s">
        <v>150</v>
      </c>
      <c r="E98" s="61" t="s">
        <v>151</v>
      </c>
      <c r="F98" s="61" t="s">
        <v>156</v>
      </c>
    </row>
    <row r="99" spans="1:7">
      <c r="B99" s="381">
        <v>1</v>
      </c>
      <c r="C99" s="382" t="s">
        <v>682</v>
      </c>
      <c r="D99" s="381">
        <v>1</v>
      </c>
      <c r="E99" s="383">
        <v>100000</v>
      </c>
      <c r="F99" s="384">
        <f t="shared" ref="F99:F104" si="8">D99*E99</f>
        <v>100000</v>
      </c>
    </row>
    <row r="100" spans="1:7">
      <c r="B100" s="381"/>
      <c r="C100" s="382"/>
      <c r="D100" s="381"/>
      <c r="E100" s="383"/>
      <c r="F100" s="384">
        <f t="shared" si="8"/>
        <v>0</v>
      </c>
    </row>
    <row r="101" spans="1:7">
      <c r="B101" s="381"/>
      <c r="C101" s="382"/>
      <c r="D101" s="381"/>
      <c r="E101" s="383"/>
      <c r="F101" s="384">
        <f t="shared" si="8"/>
        <v>0</v>
      </c>
    </row>
    <row r="102" spans="1:7">
      <c r="B102" s="381"/>
      <c r="C102" s="382"/>
      <c r="D102" s="381"/>
      <c r="E102" s="383"/>
      <c r="F102" s="384">
        <f t="shared" si="8"/>
        <v>0</v>
      </c>
    </row>
    <row r="103" spans="1:7">
      <c r="B103" s="381"/>
      <c r="C103" s="382"/>
      <c r="D103" s="381"/>
      <c r="E103" s="383"/>
      <c r="F103" s="384">
        <f t="shared" si="8"/>
        <v>0</v>
      </c>
    </row>
    <row r="104" spans="1:7">
      <c r="B104" s="381"/>
      <c r="C104" s="382"/>
      <c r="D104" s="381"/>
      <c r="E104" s="383"/>
      <c r="F104" s="384">
        <f t="shared" si="8"/>
        <v>0</v>
      </c>
    </row>
    <row r="105" spans="1:7">
      <c r="B105" s="426" t="s">
        <v>1</v>
      </c>
      <c r="C105" s="426"/>
      <c r="D105" s="426"/>
      <c r="E105" s="426"/>
      <c r="F105" s="21">
        <f>SUM(F99:F104)</f>
        <v>100000</v>
      </c>
    </row>
    <row r="107" spans="1:7">
      <c r="A107" s="413" t="s">
        <v>413</v>
      </c>
      <c r="B107" s="413"/>
      <c r="C107" s="413"/>
      <c r="D107" s="413"/>
      <c r="E107" s="413"/>
      <c r="F107" s="413"/>
      <c r="G107" s="413"/>
    </row>
    <row r="110" spans="1:7" ht="18.75">
      <c r="B110" s="412" t="s">
        <v>628</v>
      </c>
      <c r="C110" s="412"/>
      <c r="D110" s="412"/>
      <c r="E110" s="412"/>
      <c r="F110" s="412"/>
    </row>
    <row r="112" spans="1:7" ht="28.5">
      <c r="B112" s="213" t="s">
        <v>144</v>
      </c>
      <c r="C112" s="214" t="s">
        <v>128</v>
      </c>
      <c r="D112" s="214" t="s">
        <v>150</v>
      </c>
      <c r="E112" s="214" t="s">
        <v>151</v>
      </c>
      <c r="F112" s="214" t="s">
        <v>156</v>
      </c>
    </row>
    <row r="113" spans="1:7">
      <c r="B113" s="379"/>
      <c r="C113" s="223"/>
      <c r="D113" s="379"/>
      <c r="E113" s="385"/>
      <c r="F113" s="380">
        <f>E113*D113</f>
        <v>0</v>
      </c>
    </row>
    <row r="114" spans="1:7">
      <c r="B114" s="379"/>
      <c r="C114" s="223"/>
      <c r="D114" s="379"/>
      <c r="E114" s="385"/>
      <c r="F114" s="380">
        <f>E114*D114</f>
        <v>0</v>
      </c>
    </row>
    <row r="115" spans="1:7">
      <c r="B115" s="379"/>
      <c r="C115" s="223"/>
      <c r="D115" s="379"/>
      <c r="E115" s="385"/>
      <c r="F115" s="380">
        <f>E115*D115</f>
        <v>0</v>
      </c>
    </row>
    <row r="116" spans="1:7">
      <c r="B116" s="417" t="s">
        <v>1</v>
      </c>
      <c r="C116" s="417"/>
      <c r="D116" s="417"/>
      <c r="E116" s="417"/>
      <c r="F116" s="216">
        <f>SUM(F113:F115)</f>
        <v>0</v>
      </c>
    </row>
    <row r="117" spans="1:7">
      <c r="A117" s="425" t="s">
        <v>450</v>
      </c>
      <c r="B117" s="425"/>
      <c r="C117" s="425"/>
      <c r="D117" s="425"/>
      <c r="E117" s="425"/>
      <c r="F117" s="425"/>
      <c r="G117" s="425"/>
    </row>
    <row r="118" spans="1:7" ht="19.5" thickBot="1">
      <c r="B118" s="412" t="s">
        <v>254</v>
      </c>
      <c r="C118" s="412"/>
      <c r="D118" s="412"/>
    </row>
    <row r="119" spans="1:7" ht="29.25" thickBot="1">
      <c r="B119" s="225" t="s">
        <v>144</v>
      </c>
      <c r="C119" s="226" t="s">
        <v>128</v>
      </c>
      <c r="D119" s="226" t="s">
        <v>371</v>
      </c>
    </row>
    <row r="120" spans="1:7" ht="15.75" thickBot="1">
      <c r="B120" s="386">
        <v>1</v>
      </c>
      <c r="C120" s="387" t="s">
        <v>683</v>
      </c>
      <c r="D120" s="387">
        <v>350000</v>
      </c>
    </row>
    <row r="121" spans="1:7" ht="15.75" thickBot="1">
      <c r="B121" s="386"/>
      <c r="C121" s="387"/>
      <c r="D121" s="387"/>
    </row>
    <row r="122" spans="1:7" ht="15.75" thickBot="1">
      <c r="B122" s="386"/>
      <c r="C122" s="387"/>
      <c r="D122" s="387"/>
    </row>
    <row r="123" spans="1:7" ht="15.75" thickBot="1">
      <c r="B123" s="386"/>
      <c r="C123" s="387"/>
      <c r="D123" s="387"/>
    </row>
    <row r="124" spans="1:7" ht="15.75" thickBot="1">
      <c r="B124" s="386"/>
      <c r="C124" s="387"/>
      <c r="D124" s="387"/>
    </row>
    <row r="125" spans="1:7" ht="15.75" thickBot="1">
      <c r="B125" s="421" t="s">
        <v>1</v>
      </c>
      <c r="C125" s="422"/>
      <c r="D125" s="388">
        <f>SUM(D120:D124)</f>
        <v>350000</v>
      </c>
    </row>
    <row r="127" spans="1:7" ht="25.5" customHeight="1">
      <c r="A127" s="423" t="s">
        <v>451</v>
      </c>
      <c r="B127" s="423"/>
      <c r="C127" s="423"/>
      <c r="D127" s="423"/>
      <c r="E127" s="423"/>
    </row>
  </sheetData>
  <mergeCells count="22">
    <mergeCell ref="B125:C125"/>
    <mergeCell ref="A127:E127"/>
    <mergeCell ref="B67:C67"/>
    <mergeCell ref="A107:G107"/>
    <mergeCell ref="B116:E116"/>
    <mergeCell ref="B110:F110"/>
    <mergeCell ref="A117:G117"/>
    <mergeCell ref="B118:D118"/>
    <mergeCell ref="B92:E92"/>
    <mergeCell ref="B84:F84"/>
    <mergeCell ref="A93:G93"/>
    <mergeCell ref="B105:E105"/>
    <mergeCell ref="B96:F96"/>
    <mergeCell ref="B12:F12"/>
    <mergeCell ref="B2:G2"/>
    <mergeCell ref="B15:G15"/>
    <mergeCell ref="B70:H70"/>
    <mergeCell ref="B69:F69"/>
    <mergeCell ref="B17:H17"/>
    <mergeCell ref="B32:C32"/>
    <mergeCell ref="B47:C47"/>
    <mergeCell ref="B61:C61"/>
  </mergeCells>
  <hyperlinks>
    <hyperlink ref="C57" r:id="rId1" display="IGST@18"/>
    <hyperlink ref="C60" r:id="rId2"/>
  </hyperlinks>
  <pageMargins left="0.70866141732283472" right="0.70866141732283472" top="0.74803149606299213" bottom="0.74803149606299213" header="0.31496062992125984" footer="0.31496062992125984"/>
  <pageSetup scale="75" orientation="landscape" r:id="rId3"/>
</worksheet>
</file>

<file path=xl/worksheets/sheet4.xml><?xml version="1.0" encoding="utf-8"?>
<worksheet xmlns="http://schemas.openxmlformats.org/spreadsheetml/2006/main" xmlns:r="http://schemas.openxmlformats.org/officeDocument/2006/relationships">
  <dimension ref="A2:Q104"/>
  <sheetViews>
    <sheetView view="pageBreakPreview" topLeftCell="A73" zoomScale="80" zoomScaleSheetLayoutView="80" workbookViewId="0">
      <selection activeCell="B103" sqref="B103"/>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5" t="s">
        <v>550</v>
      </c>
      <c r="B2" s="415"/>
      <c r="C2" s="415"/>
      <c r="D2" s="415"/>
      <c r="E2" s="415"/>
      <c r="F2" s="415"/>
      <c r="G2" s="415"/>
      <c r="H2" s="415"/>
      <c r="I2" s="415"/>
      <c r="J2" s="415"/>
      <c r="K2" s="415"/>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5500</v>
      </c>
      <c r="E8" s="95">
        <f>$C8*$D8*12*E$4</f>
        <v>132000</v>
      </c>
      <c r="F8" s="95">
        <f t="shared" ref="F8:K8" si="1">$C8*$D8*12*F$4</f>
        <v>138600</v>
      </c>
      <c r="G8" s="95">
        <f t="shared" si="1"/>
        <v>145530</v>
      </c>
      <c r="H8" s="95">
        <f t="shared" si="1"/>
        <v>152806.50000000003</v>
      </c>
      <c r="I8" s="95">
        <f t="shared" si="1"/>
        <v>160446.82500000004</v>
      </c>
      <c r="J8" s="95">
        <f t="shared" si="1"/>
        <v>168469.16625000004</v>
      </c>
      <c r="K8" s="95">
        <f t="shared" si="1"/>
        <v>176892.62456250004</v>
      </c>
    </row>
    <row r="9" spans="1:11">
      <c r="A9" s="94" t="s">
        <v>187</v>
      </c>
      <c r="B9" s="94" t="s">
        <v>390</v>
      </c>
      <c r="C9" s="229">
        <v>2</v>
      </c>
      <c r="D9" s="247">
        <v>5500</v>
      </c>
      <c r="E9" s="95">
        <f>$C9*$D9*12*E$4</f>
        <v>132000</v>
      </c>
      <c r="F9" s="95">
        <f t="shared" ref="F9:K10" si="2">$C9*$D9*12*F$4</f>
        <v>138600</v>
      </c>
      <c r="G9" s="95">
        <f t="shared" si="2"/>
        <v>145530</v>
      </c>
      <c r="H9" s="95">
        <f t="shared" si="2"/>
        <v>152806.50000000003</v>
      </c>
      <c r="I9" s="95">
        <f t="shared" si="2"/>
        <v>160446.82500000004</v>
      </c>
      <c r="J9" s="95">
        <f t="shared" si="2"/>
        <v>168469.16625000004</v>
      </c>
      <c r="K9" s="95">
        <f t="shared" si="2"/>
        <v>176892.62456250004</v>
      </c>
    </row>
    <row r="10" spans="1:11">
      <c r="A10" s="94" t="s">
        <v>192</v>
      </c>
      <c r="B10" s="94" t="s">
        <v>390</v>
      </c>
      <c r="C10" s="229">
        <v>1</v>
      </c>
      <c r="D10" s="247">
        <v>5500</v>
      </c>
      <c r="E10" s="95">
        <f>$C10*$D10*12*E$4</f>
        <v>66000</v>
      </c>
      <c r="F10" s="95">
        <f t="shared" si="2"/>
        <v>69300</v>
      </c>
      <c r="G10" s="95">
        <f t="shared" si="2"/>
        <v>72765</v>
      </c>
      <c r="H10" s="95">
        <f t="shared" si="2"/>
        <v>76403.250000000015</v>
      </c>
      <c r="I10" s="95">
        <f t="shared" si="2"/>
        <v>80223.41250000002</v>
      </c>
      <c r="J10" s="95">
        <f t="shared" si="2"/>
        <v>84234.583125000019</v>
      </c>
      <c r="K10" s="95">
        <f t="shared" si="2"/>
        <v>88446.312281250022</v>
      </c>
    </row>
    <row r="11" spans="1:11">
      <c r="A11" s="94" t="s">
        <v>130</v>
      </c>
      <c r="B11" s="94" t="s">
        <v>391</v>
      </c>
      <c r="C11" s="94">
        <v>12</v>
      </c>
      <c r="D11" s="247">
        <v>5500</v>
      </c>
      <c r="E11" s="95">
        <f>$C11*$D11*E$4</f>
        <v>66000</v>
      </c>
      <c r="F11" s="95">
        <f t="shared" ref="F11:K15" si="3">$C11*$D11*F$4</f>
        <v>69300</v>
      </c>
      <c r="G11" s="95">
        <f t="shared" si="3"/>
        <v>72765</v>
      </c>
      <c r="H11" s="95">
        <f t="shared" si="3"/>
        <v>76403.250000000015</v>
      </c>
      <c r="I11" s="95">
        <f t="shared" si="3"/>
        <v>80223.41250000002</v>
      </c>
      <c r="J11" s="95">
        <f t="shared" si="3"/>
        <v>84234.583125000019</v>
      </c>
      <c r="K11" s="95">
        <f t="shared" si="3"/>
        <v>88446.312281250022</v>
      </c>
    </row>
    <row r="12" spans="1:11">
      <c r="A12" s="94" t="s">
        <v>10</v>
      </c>
      <c r="B12" s="94" t="s">
        <v>391</v>
      </c>
      <c r="C12" s="94">
        <v>12</v>
      </c>
      <c r="D12" s="247">
        <v>6500</v>
      </c>
      <c r="E12" s="95">
        <f t="shared" ref="E12:E15" si="4">$C12*$D12*E$4</f>
        <v>78000</v>
      </c>
      <c r="F12" s="95">
        <f t="shared" si="3"/>
        <v>81900</v>
      </c>
      <c r="G12" s="95">
        <f t="shared" si="3"/>
        <v>85995</v>
      </c>
      <c r="H12" s="95">
        <f t="shared" si="3"/>
        <v>90294.750000000015</v>
      </c>
      <c r="I12" s="95">
        <f t="shared" si="3"/>
        <v>94809.487500000017</v>
      </c>
      <c r="J12" s="95">
        <f t="shared" si="3"/>
        <v>99549.961875000023</v>
      </c>
      <c r="K12" s="95">
        <f t="shared" si="3"/>
        <v>104527.45996875003</v>
      </c>
    </row>
    <row r="13" spans="1:11">
      <c r="A13" s="94" t="s">
        <v>188</v>
      </c>
      <c r="B13" s="94" t="s">
        <v>391</v>
      </c>
      <c r="C13" s="94">
        <v>12</v>
      </c>
      <c r="D13" s="247">
        <v>4200</v>
      </c>
      <c r="E13" s="95">
        <f t="shared" si="4"/>
        <v>50400</v>
      </c>
      <c r="F13" s="95">
        <f t="shared" si="3"/>
        <v>52920</v>
      </c>
      <c r="G13" s="95">
        <f t="shared" si="3"/>
        <v>55566</v>
      </c>
      <c r="H13" s="95">
        <f t="shared" si="3"/>
        <v>58344.3</v>
      </c>
      <c r="I13" s="95">
        <f t="shared" si="3"/>
        <v>61261.515000000014</v>
      </c>
      <c r="J13" s="95">
        <f t="shared" si="3"/>
        <v>64324.590750000018</v>
      </c>
      <c r="K13" s="95">
        <f t="shared" si="3"/>
        <v>67540.820287500028</v>
      </c>
    </row>
    <row r="14" spans="1:11">
      <c r="A14" s="94" t="s">
        <v>158</v>
      </c>
      <c r="B14" s="94" t="s">
        <v>391</v>
      </c>
      <c r="C14" s="94">
        <v>12</v>
      </c>
      <c r="D14" s="247">
        <v>4800</v>
      </c>
      <c r="E14" s="95">
        <f t="shared" si="4"/>
        <v>57600</v>
      </c>
      <c r="F14" s="95">
        <f t="shared" si="3"/>
        <v>60480</v>
      </c>
      <c r="G14" s="95">
        <f t="shared" si="3"/>
        <v>63504</v>
      </c>
      <c r="H14" s="95">
        <f t="shared" si="3"/>
        <v>66679.200000000012</v>
      </c>
      <c r="I14" s="95">
        <f t="shared" si="3"/>
        <v>70013.160000000018</v>
      </c>
      <c r="J14" s="95">
        <f t="shared" si="3"/>
        <v>73513.818000000014</v>
      </c>
      <c r="K14" s="95">
        <f t="shared" si="3"/>
        <v>77189.50890000003</v>
      </c>
    </row>
    <row r="15" spans="1:11">
      <c r="A15" s="94" t="s">
        <v>189</v>
      </c>
      <c r="B15" s="94" t="s">
        <v>391</v>
      </c>
      <c r="C15" s="94">
        <v>12</v>
      </c>
      <c r="D15" s="247">
        <v>8400</v>
      </c>
      <c r="E15" s="95">
        <f t="shared" si="4"/>
        <v>100800</v>
      </c>
      <c r="F15" s="95">
        <f t="shared" si="3"/>
        <v>105840</v>
      </c>
      <c r="G15" s="95">
        <f t="shared" si="3"/>
        <v>111132</v>
      </c>
      <c r="H15" s="95">
        <f t="shared" si="3"/>
        <v>116688.6</v>
      </c>
      <c r="I15" s="95">
        <f t="shared" si="3"/>
        <v>122523.03000000003</v>
      </c>
      <c r="J15" s="95">
        <f t="shared" si="3"/>
        <v>128649.18150000004</v>
      </c>
      <c r="K15" s="95">
        <f t="shared" si="3"/>
        <v>135081.64057500006</v>
      </c>
    </row>
    <row r="16" spans="1:11">
      <c r="A16" s="94" t="s">
        <v>190</v>
      </c>
      <c r="B16" s="94" t="s">
        <v>392</v>
      </c>
      <c r="C16" s="94">
        <v>1</v>
      </c>
      <c r="D16" s="247">
        <v>100000</v>
      </c>
      <c r="E16" s="95">
        <f>$D16*E$4*$C16</f>
        <v>100000</v>
      </c>
      <c r="F16" s="95">
        <f t="shared" ref="F16:K22" si="5">$D16*F$4*$C16</f>
        <v>105000</v>
      </c>
      <c r="G16" s="95">
        <f t="shared" si="5"/>
        <v>110250</v>
      </c>
      <c r="H16" s="95">
        <f t="shared" si="5"/>
        <v>115762.50000000001</v>
      </c>
      <c r="I16" s="95">
        <f t="shared" si="5"/>
        <v>121550.62500000003</v>
      </c>
      <c r="J16" s="95">
        <f t="shared" si="5"/>
        <v>127628.15625000003</v>
      </c>
      <c r="K16" s="95">
        <f t="shared" si="5"/>
        <v>134009.56406250005</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782800</v>
      </c>
      <c r="F23" s="114">
        <f t="shared" ref="F23:K23" si="7">SUM(F8:F22)</f>
        <v>821940</v>
      </c>
      <c r="G23" s="114">
        <f t="shared" si="7"/>
        <v>863037</v>
      </c>
      <c r="H23" s="114">
        <f t="shared" si="7"/>
        <v>906188.85000000021</v>
      </c>
      <c r="I23" s="114">
        <f t="shared" si="7"/>
        <v>951498.29250000021</v>
      </c>
      <c r="J23" s="114">
        <f t="shared" si="7"/>
        <v>999073.20712500007</v>
      </c>
      <c r="K23" s="114">
        <f t="shared" si="7"/>
        <v>1049026.8674812503</v>
      </c>
    </row>
    <row r="28" spans="1:17">
      <c r="A28" s="429"/>
      <c r="B28" s="429"/>
      <c r="C28" s="429"/>
      <c r="D28" s="429"/>
      <c r="E28" s="429"/>
      <c r="F28" s="429"/>
      <c r="G28" s="429"/>
      <c r="H28" s="429"/>
      <c r="I28" s="429"/>
      <c r="J28" s="429"/>
      <c r="K28" s="429"/>
      <c r="L28" s="429"/>
      <c r="M28" s="429"/>
      <c r="N28" s="429"/>
      <c r="O28" s="429"/>
    </row>
    <row r="29" spans="1:17" ht="18.75">
      <c r="A29" s="427" t="s">
        <v>701</v>
      </c>
      <c r="B29" s="427"/>
      <c r="C29" s="427"/>
      <c r="D29" s="427"/>
      <c r="E29" s="427"/>
      <c r="F29" s="427"/>
      <c r="G29" s="427"/>
      <c r="H29" s="427"/>
      <c r="I29" s="427"/>
      <c r="J29" s="427"/>
      <c r="K29" s="427"/>
      <c r="L29" s="427"/>
      <c r="M29" s="427"/>
      <c r="N29" s="427"/>
      <c r="O29" s="427"/>
      <c r="P29" s="427"/>
      <c r="Q29" s="427"/>
    </row>
    <row r="30" spans="1:17" s="13" customFormat="1">
      <c r="A30" s="148"/>
      <c r="B30" s="148"/>
      <c r="C30" s="148"/>
      <c r="D30" s="148"/>
      <c r="E30" s="148"/>
      <c r="F30" s="148"/>
      <c r="G30" s="148"/>
      <c r="H30" s="148"/>
      <c r="I30" s="148"/>
      <c r="J30" s="148"/>
      <c r="K30" s="148"/>
      <c r="L30" s="148"/>
      <c r="M30" s="148"/>
      <c r="N30" s="148"/>
      <c r="O30" s="148"/>
    </row>
    <row r="31" spans="1:17">
      <c r="A31" s="93"/>
      <c r="B31" s="93"/>
      <c r="C31" s="430" t="s">
        <v>193</v>
      </c>
      <c r="D31" s="430"/>
      <c r="E31" s="430"/>
      <c r="F31" s="430"/>
      <c r="G31" s="430"/>
      <c r="H31" s="430"/>
      <c r="I31" s="430"/>
      <c r="J31" s="93"/>
      <c r="K31" s="431" t="s">
        <v>194</v>
      </c>
      <c r="L31" s="431"/>
      <c r="M31" s="431"/>
      <c r="N31" s="431"/>
      <c r="O31" s="431"/>
      <c r="P31" s="431"/>
      <c r="Q31" s="431"/>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2500000</v>
      </c>
      <c r="D37" s="166">
        <f t="shared" ref="D37:I37" si="8">C40</f>
        <v>2420750</v>
      </c>
      <c r="E37" s="166">
        <f t="shared" si="8"/>
        <v>2341500</v>
      </c>
      <c r="F37" s="166">
        <f t="shared" si="8"/>
        <v>2262250</v>
      </c>
      <c r="G37" s="166">
        <f t="shared" si="8"/>
        <v>2183000</v>
      </c>
      <c r="H37" s="166">
        <f t="shared" si="8"/>
        <v>2103750</v>
      </c>
      <c r="I37" s="166">
        <f t="shared" si="8"/>
        <v>2024500</v>
      </c>
      <c r="J37" s="98"/>
      <c r="K37" s="166">
        <f>C37</f>
        <v>2500000</v>
      </c>
      <c r="L37" s="166">
        <f t="shared" ref="L37:Q37" si="9">K40</f>
        <v>2250000</v>
      </c>
      <c r="M37" s="166">
        <f t="shared" si="9"/>
        <v>2025000</v>
      </c>
      <c r="N37" s="166">
        <f t="shared" si="9"/>
        <v>1822500</v>
      </c>
      <c r="O37" s="166">
        <f t="shared" si="9"/>
        <v>1640250</v>
      </c>
      <c r="P37" s="166">
        <f t="shared" si="9"/>
        <v>1476225</v>
      </c>
      <c r="Q37" s="166">
        <f t="shared" si="9"/>
        <v>1328602.5</v>
      </c>
    </row>
    <row r="38" spans="1:17">
      <c r="A38" s="164" t="s">
        <v>17</v>
      </c>
      <c r="B38" s="164"/>
      <c r="C38" s="166">
        <f t="shared" ref="C38:I38" si="10">$C$37*$B$74</f>
        <v>79250</v>
      </c>
      <c r="D38" s="166">
        <f t="shared" si="10"/>
        <v>79250</v>
      </c>
      <c r="E38" s="166">
        <f t="shared" si="10"/>
        <v>79250</v>
      </c>
      <c r="F38" s="166">
        <f t="shared" si="10"/>
        <v>79250</v>
      </c>
      <c r="G38" s="166">
        <f t="shared" si="10"/>
        <v>79250</v>
      </c>
      <c r="H38" s="166">
        <f t="shared" si="10"/>
        <v>79250</v>
      </c>
      <c r="I38" s="166">
        <f t="shared" si="10"/>
        <v>79250</v>
      </c>
      <c r="J38" s="98"/>
      <c r="K38" s="166">
        <f t="shared" ref="K38:Q38" si="11">K37*$C$74</f>
        <v>250000</v>
      </c>
      <c r="L38" s="166">
        <f t="shared" si="11"/>
        <v>225000</v>
      </c>
      <c r="M38" s="166">
        <f t="shared" si="11"/>
        <v>202500</v>
      </c>
      <c r="N38" s="166">
        <f t="shared" si="11"/>
        <v>182250</v>
      </c>
      <c r="O38" s="166">
        <f t="shared" si="11"/>
        <v>164025</v>
      </c>
      <c r="P38" s="166">
        <f t="shared" si="11"/>
        <v>147622.5</v>
      </c>
      <c r="Q38" s="166">
        <f t="shared" si="11"/>
        <v>132860.25</v>
      </c>
    </row>
    <row r="39" spans="1:17">
      <c r="A39" s="164" t="s">
        <v>197</v>
      </c>
      <c r="B39" s="164"/>
      <c r="C39" s="166">
        <f>C38</f>
        <v>79250</v>
      </c>
      <c r="D39" s="166">
        <f t="shared" ref="D39:I39" si="12">C39+D38</f>
        <v>158500</v>
      </c>
      <c r="E39" s="166">
        <f t="shared" si="12"/>
        <v>237750</v>
      </c>
      <c r="F39" s="166">
        <f t="shared" si="12"/>
        <v>317000</v>
      </c>
      <c r="G39" s="166">
        <f t="shared" si="12"/>
        <v>396250</v>
      </c>
      <c r="H39" s="166">
        <f t="shared" si="12"/>
        <v>475500</v>
      </c>
      <c r="I39" s="166">
        <f t="shared" si="12"/>
        <v>554750</v>
      </c>
      <c r="J39" s="98"/>
      <c r="K39" s="166">
        <f>K38</f>
        <v>250000</v>
      </c>
      <c r="L39" s="166">
        <f t="shared" ref="L39:Q39" si="13">K39+L38</f>
        <v>475000</v>
      </c>
      <c r="M39" s="166">
        <f t="shared" si="13"/>
        <v>677500</v>
      </c>
      <c r="N39" s="166">
        <f t="shared" si="13"/>
        <v>859750</v>
      </c>
      <c r="O39" s="166">
        <f t="shared" si="13"/>
        <v>1023775</v>
      </c>
      <c r="P39" s="166">
        <f t="shared" si="13"/>
        <v>1171397.5</v>
      </c>
      <c r="Q39" s="166">
        <f t="shared" si="13"/>
        <v>1304257.75</v>
      </c>
    </row>
    <row r="40" spans="1:17">
      <c r="A40" s="164" t="s">
        <v>198</v>
      </c>
      <c r="B40" s="164"/>
      <c r="C40" s="166">
        <f t="shared" ref="C40:I40" si="14">C37-C38</f>
        <v>2420750</v>
      </c>
      <c r="D40" s="166">
        <f t="shared" si="14"/>
        <v>2341500</v>
      </c>
      <c r="E40" s="166">
        <f t="shared" si="14"/>
        <v>2262250</v>
      </c>
      <c r="F40" s="166">
        <f t="shared" si="14"/>
        <v>2183000</v>
      </c>
      <c r="G40" s="166">
        <f t="shared" si="14"/>
        <v>2103750</v>
      </c>
      <c r="H40" s="166">
        <f t="shared" si="14"/>
        <v>2024500</v>
      </c>
      <c r="I40" s="166">
        <f t="shared" si="14"/>
        <v>1945250</v>
      </c>
      <c r="J40" s="98"/>
      <c r="K40" s="166">
        <f t="shared" ref="K40:Q40" si="15">K37-K38</f>
        <v>2250000</v>
      </c>
      <c r="L40" s="166">
        <f t="shared" si="15"/>
        <v>2025000</v>
      </c>
      <c r="M40" s="166">
        <f t="shared" si="15"/>
        <v>1822500</v>
      </c>
      <c r="N40" s="166">
        <f t="shared" si="15"/>
        <v>1640250</v>
      </c>
      <c r="O40" s="166">
        <f t="shared" si="15"/>
        <v>1476225</v>
      </c>
      <c r="P40" s="166">
        <f t="shared" si="15"/>
        <v>1328602.5</v>
      </c>
      <c r="Q40" s="166">
        <f t="shared" si="15"/>
        <v>1195742.25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2500008</v>
      </c>
      <c r="D43" s="166">
        <f t="shared" ref="D43:I43" si="16">C46</f>
        <v>2341757.4936000002</v>
      </c>
      <c r="E43" s="166">
        <f t="shared" si="16"/>
        <v>2183506.9872000003</v>
      </c>
      <c r="F43" s="166">
        <f t="shared" si="16"/>
        <v>2025256.4808000003</v>
      </c>
      <c r="G43" s="166">
        <f t="shared" si="16"/>
        <v>1867005.9744000002</v>
      </c>
      <c r="H43" s="166">
        <f t="shared" si="16"/>
        <v>1708755.4680000001</v>
      </c>
      <c r="I43" s="166">
        <f t="shared" si="16"/>
        <v>1550504.9616</v>
      </c>
      <c r="J43" s="98"/>
      <c r="K43" s="166">
        <f>C43</f>
        <v>2500008</v>
      </c>
      <c r="L43" s="166">
        <f t="shared" ref="L43:Q43" si="17">K46</f>
        <v>2125006.7999999998</v>
      </c>
      <c r="M43" s="166">
        <f t="shared" si="17"/>
        <v>1806255.7799999998</v>
      </c>
      <c r="N43" s="166">
        <f t="shared" si="17"/>
        <v>1535317.4129999997</v>
      </c>
      <c r="O43" s="166">
        <f t="shared" si="17"/>
        <v>1305019.8010499997</v>
      </c>
      <c r="P43" s="166">
        <f t="shared" si="17"/>
        <v>1109266.8308924998</v>
      </c>
      <c r="Q43" s="166">
        <f t="shared" si="17"/>
        <v>942876.80625862477</v>
      </c>
    </row>
    <row r="44" spans="1:17">
      <c r="A44" s="164" t="s">
        <v>17</v>
      </c>
      <c r="B44" s="164"/>
      <c r="C44" s="166">
        <f t="shared" ref="C44:I44" si="18">$C$43*$B$78</f>
        <v>158250.50639999998</v>
      </c>
      <c r="D44" s="166">
        <f t="shared" si="18"/>
        <v>158250.50639999998</v>
      </c>
      <c r="E44" s="166">
        <f t="shared" si="18"/>
        <v>158250.50639999998</v>
      </c>
      <c r="F44" s="166">
        <f t="shared" si="18"/>
        <v>158250.50639999998</v>
      </c>
      <c r="G44" s="166">
        <f t="shared" si="18"/>
        <v>158250.50639999998</v>
      </c>
      <c r="H44" s="166">
        <f t="shared" si="18"/>
        <v>158250.50639999998</v>
      </c>
      <c r="I44" s="166">
        <f t="shared" si="18"/>
        <v>158250.50639999998</v>
      </c>
      <c r="J44" s="98"/>
      <c r="K44" s="166">
        <f t="shared" ref="K44:Q44" si="19">K43*$C$78</f>
        <v>375001.2</v>
      </c>
      <c r="L44" s="166">
        <f t="shared" si="19"/>
        <v>318751.01999999996</v>
      </c>
      <c r="M44" s="166">
        <f t="shared" si="19"/>
        <v>270938.36699999997</v>
      </c>
      <c r="N44" s="166">
        <f t="shared" si="19"/>
        <v>230297.61194999996</v>
      </c>
      <c r="O44" s="166">
        <f t="shared" si="19"/>
        <v>195752.97015749995</v>
      </c>
      <c r="P44" s="166">
        <f t="shared" si="19"/>
        <v>166390.02463387497</v>
      </c>
      <c r="Q44" s="166">
        <f t="shared" si="19"/>
        <v>141431.52093879372</v>
      </c>
    </row>
    <row r="45" spans="1:17">
      <c r="A45" s="164" t="s">
        <v>197</v>
      </c>
      <c r="B45" s="164"/>
      <c r="C45" s="166">
        <f>C44</f>
        <v>158250.50639999998</v>
      </c>
      <c r="D45" s="166">
        <f t="shared" ref="D45:I45" si="20">C45+D44</f>
        <v>316501.01279999997</v>
      </c>
      <c r="E45" s="166">
        <f t="shared" si="20"/>
        <v>474751.51919999998</v>
      </c>
      <c r="F45" s="166">
        <f t="shared" si="20"/>
        <v>633002.02559999994</v>
      </c>
      <c r="G45" s="166">
        <f t="shared" si="20"/>
        <v>791252.53199999989</v>
      </c>
      <c r="H45" s="166">
        <f t="shared" si="20"/>
        <v>949503.03839999984</v>
      </c>
      <c r="I45" s="166">
        <f t="shared" si="20"/>
        <v>1107753.5447999998</v>
      </c>
      <c r="J45" s="98"/>
      <c r="K45" s="166">
        <f>K44</f>
        <v>375001.2</v>
      </c>
      <c r="L45" s="166">
        <f t="shared" ref="L45:Q45" si="21">K45+L44</f>
        <v>693752.22</v>
      </c>
      <c r="M45" s="166">
        <f t="shared" si="21"/>
        <v>964690.58699999994</v>
      </c>
      <c r="N45" s="166">
        <f t="shared" si="21"/>
        <v>1194988.1989499999</v>
      </c>
      <c r="O45" s="166">
        <f t="shared" si="21"/>
        <v>1390741.1691074998</v>
      </c>
      <c r="P45" s="166">
        <f t="shared" si="21"/>
        <v>1557131.1937413746</v>
      </c>
      <c r="Q45" s="166">
        <f t="shared" si="21"/>
        <v>1698562.7146801683</v>
      </c>
    </row>
    <row r="46" spans="1:17">
      <c r="A46" s="164" t="s">
        <v>198</v>
      </c>
      <c r="B46" s="164"/>
      <c r="C46" s="166">
        <f t="shared" ref="C46:I46" si="22">C43-C44</f>
        <v>2341757.4936000002</v>
      </c>
      <c r="D46" s="166">
        <f t="shared" si="22"/>
        <v>2183506.9872000003</v>
      </c>
      <c r="E46" s="166">
        <f t="shared" si="22"/>
        <v>2025256.4808000003</v>
      </c>
      <c r="F46" s="166">
        <f t="shared" si="22"/>
        <v>1867005.9744000002</v>
      </c>
      <c r="G46" s="166">
        <f t="shared" si="22"/>
        <v>1708755.4680000001</v>
      </c>
      <c r="H46" s="166">
        <f t="shared" si="22"/>
        <v>1550504.9616</v>
      </c>
      <c r="I46" s="166">
        <f t="shared" si="22"/>
        <v>1392254.4552</v>
      </c>
      <c r="J46" s="98"/>
      <c r="K46" s="166">
        <f t="shared" ref="K46:Q46" si="23">K43-K44</f>
        <v>2125006.7999999998</v>
      </c>
      <c r="L46" s="166">
        <f t="shared" si="23"/>
        <v>1806255.7799999998</v>
      </c>
      <c r="M46" s="166">
        <f t="shared" si="23"/>
        <v>1535317.4129999997</v>
      </c>
      <c r="N46" s="166">
        <f t="shared" si="23"/>
        <v>1305019.8010499997</v>
      </c>
      <c r="O46" s="166">
        <f t="shared" si="23"/>
        <v>1109266.8308924998</v>
      </c>
      <c r="P46" s="166">
        <f t="shared" si="23"/>
        <v>942876.80625862477</v>
      </c>
      <c r="Q46" s="166">
        <f t="shared" si="23"/>
        <v>801445.28531983099</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100000</v>
      </c>
      <c r="D49" s="166">
        <f t="shared" ref="D49:I49" si="24">C52</f>
        <v>90000</v>
      </c>
      <c r="E49" s="166">
        <f t="shared" si="24"/>
        <v>80000</v>
      </c>
      <c r="F49" s="166">
        <f t="shared" si="24"/>
        <v>70000</v>
      </c>
      <c r="G49" s="166">
        <f t="shared" si="24"/>
        <v>60000</v>
      </c>
      <c r="H49" s="166">
        <f t="shared" si="24"/>
        <v>50000</v>
      </c>
      <c r="I49" s="166">
        <f t="shared" si="24"/>
        <v>40000</v>
      </c>
      <c r="J49" s="98"/>
      <c r="K49" s="166">
        <f>C49</f>
        <v>100000</v>
      </c>
      <c r="L49" s="166">
        <f t="shared" ref="L49:Q49" si="25">K52</f>
        <v>90000</v>
      </c>
      <c r="M49" s="166">
        <f t="shared" si="25"/>
        <v>81000</v>
      </c>
      <c r="N49" s="166">
        <f t="shared" si="25"/>
        <v>72900</v>
      </c>
      <c r="O49" s="166">
        <f t="shared" si="25"/>
        <v>65610</v>
      </c>
      <c r="P49" s="166">
        <f t="shared" si="25"/>
        <v>59049</v>
      </c>
      <c r="Q49" s="166">
        <f t="shared" si="25"/>
        <v>53144.1</v>
      </c>
    </row>
    <row r="50" spans="1:17">
      <c r="A50" s="164" t="s">
        <v>17</v>
      </c>
      <c r="B50" s="164"/>
      <c r="C50" s="166">
        <f t="shared" ref="C50:I50" si="26">$C$49*$B$75</f>
        <v>10000</v>
      </c>
      <c r="D50" s="166">
        <f t="shared" si="26"/>
        <v>10000</v>
      </c>
      <c r="E50" s="166">
        <f t="shared" si="26"/>
        <v>10000</v>
      </c>
      <c r="F50" s="166">
        <f t="shared" si="26"/>
        <v>10000</v>
      </c>
      <c r="G50" s="166">
        <f t="shared" si="26"/>
        <v>10000</v>
      </c>
      <c r="H50" s="166">
        <f t="shared" si="26"/>
        <v>10000</v>
      </c>
      <c r="I50" s="166">
        <f t="shared" si="26"/>
        <v>10000</v>
      </c>
      <c r="J50" s="98"/>
      <c r="K50" s="166">
        <f t="shared" ref="K50:Q50" si="27">K49*$C$75</f>
        <v>10000</v>
      </c>
      <c r="L50" s="166">
        <f t="shared" si="27"/>
        <v>9000</v>
      </c>
      <c r="M50" s="166">
        <f t="shared" si="27"/>
        <v>8100</v>
      </c>
      <c r="N50" s="166">
        <f t="shared" si="27"/>
        <v>7290</v>
      </c>
      <c r="O50" s="166">
        <f t="shared" si="27"/>
        <v>6561</v>
      </c>
      <c r="P50" s="166">
        <f t="shared" si="27"/>
        <v>5904.9000000000005</v>
      </c>
      <c r="Q50" s="166">
        <f t="shared" si="27"/>
        <v>5314.41</v>
      </c>
    </row>
    <row r="51" spans="1:17">
      <c r="A51" s="164" t="s">
        <v>197</v>
      </c>
      <c r="B51" s="164"/>
      <c r="C51" s="166">
        <f>C50</f>
        <v>10000</v>
      </c>
      <c r="D51" s="166">
        <f t="shared" ref="D51:I51" si="28">C51+D50</f>
        <v>20000</v>
      </c>
      <c r="E51" s="166">
        <f t="shared" si="28"/>
        <v>30000</v>
      </c>
      <c r="F51" s="166">
        <f t="shared" si="28"/>
        <v>40000</v>
      </c>
      <c r="G51" s="166">
        <f t="shared" si="28"/>
        <v>50000</v>
      </c>
      <c r="H51" s="166">
        <f t="shared" si="28"/>
        <v>60000</v>
      </c>
      <c r="I51" s="166">
        <f t="shared" si="28"/>
        <v>70000</v>
      </c>
      <c r="J51" s="98"/>
      <c r="K51" s="166">
        <f>K50</f>
        <v>10000</v>
      </c>
      <c r="L51" s="166">
        <f t="shared" ref="L51:Q51" si="29">K51+L50</f>
        <v>19000</v>
      </c>
      <c r="M51" s="166">
        <f t="shared" si="29"/>
        <v>27100</v>
      </c>
      <c r="N51" s="166">
        <f t="shared" si="29"/>
        <v>34390</v>
      </c>
      <c r="O51" s="166">
        <f t="shared" si="29"/>
        <v>40951</v>
      </c>
      <c r="P51" s="166">
        <f t="shared" si="29"/>
        <v>46855.9</v>
      </c>
      <c r="Q51" s="166">
        <f t="shared" si="29"/>
        <v>52170.31</v>
      </c>
    </row>
    <row r="52" spans="1:17">
      <c r="A52" s="164" t="s">
        <v>198</v>
      </c>
      <c r="B52" s="164"/>
      <c r="C52" s="166">
        <f t="shared" ref="C52:I52" si="30">C49-C50</f>
        <v>90000</v>
      </c>
      <c r="D52" s="166">
        <f t="shared" si="30"/>
        <v>80000</v>
      </c>
      <c r="E52" s="166">
        <f t="shared" si="30"/>
        <v>70000</v>
      </c>
      <c r="F52" s="166">
        <f t="shared" si="30"/>
        <v>60000</v>
      </c>
      <c r="G52" s="166">
        <f t="shared" si="30"/>
        <v>50000</v>
      </c>
      <c r="H52" s="166">
        <f t="shared" si="30"/>
        <v>40000</v>
      </c>
      <c r="I52" s="166">
        <f t="shared" si="30"/>
        <v>30000</v>
      </c>
      <c r="J52" s="98"/>
      <c r="K52" s="166">
        <f t="shared" ref="K52:Q52" si="31">K49-K50</f>
        <v>90000</v>
      </c>
      <c r="L52" s="166">
        <f t="shared" si="31"/>
        <v>81000</v>
      </c>
      <c r="M52" s="166">
        <f t="shared" si="31"/>
        <v>72900</v>
      </c>
      <c r="N52" s="166">
        <f t="shared" si="31"/>
        <v>65610</v>
      </c>
      <c r="O52" s="166">
        <f t="shared" si="31"/>
        <v>59049</v>
      </c>
      <c r="P52" s="166">
        <f t="shared" si="31"/>
        <v>53144.1</v>
      </c>
      <c r="Q52" s="166">
        <f t="shared" si="31"/>
        <v>47829.69</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100000</v>
      </c>
      <c r="D61" s="166">
        <f t="shared" ref="D61:I61" si="40">C64</f>
        <v>90000</v>
      </c>
      <c r="E61" s="166">
        <f t="shared" si="40"/>
        <v>80000</v>
      </c>
      <c r="F61" s="166">
        <f t="shared" si="40"/>
        <v>70000</v>
      </c>
      <c r="G61" s="166">
        <f t="shared" si="40"/>
        <v>60000</v>
      </c>
      <c r="H61" s="166">
        <f t="shared" si="40"/>
        <v>50000</v>
      </c>
      <c r="I61" s="166">
        <f t="shared" si="40"/>
        <v>40000</v>
      </c>
      <c r="J61" s="98"/>
      <c r="K61" s="166">
        <f>C61</f>
        <v>100000</v>
      </c>
      <c r="L61" s="166">
        <f t="shared" ref="L61:Q61" si="41">K64</f>
        <v>60000</v>
      </c>
      <c r="M61" s="166">
        <f t="shared" si="41"/>
        <v>36000</v>
      </c>
      <c r="N61" s="166">
        <f t="shared" si="41"/>
        <v>21600</v>
      </c>
      <c r="O61" s="166">
        <f t="shared" si="41"/>
        <v>12960</v>
      </c>
      <c r="P61" s="166">
        <f t="shared" si="41"/>
        <v>7776</v>
      </c>
      <c r="Q61" s="166">
        <f t="shared" si="41"/>
        <v>4665.6000000000004</v>
      </c>
    </row>
    <row r="62" spans="1:17">
      <c r="A62" s="164" t="str">
        <f>A56</f>
        <v>Depreciation</v>
      </c>
      <c r="B62" s="164"/>
      <c r="C62" s="166">
        <f t="shared" ref="C62:I62" si="42">$C$61*$B$76</f>
        <v>10000</v>
      </c>
      <c r="D62" s="166">
        <f t="shared" si="42"/>
        <v>10000</v>
      </c>
      <c r="E62" s="166">
        <f t="shared" si="42"/>
        <v>10000</v>
      </c>
      <c r="F62" s="166">
        <f t="shared" si="42"/>
        <v>10000</v>
      </c>
      <c r="G62" s="166">
        <f t="shared" si="42"/>
        <v>10000</v>
      </c>
      <c r="H62" s="166">
        <f t="shared" si="42"/>
        <v>10000</v>
      </c>
      <c r="I62" s="166">
        <f t="shared" si="42"/>
        <v>10000</v>
      </c>
      <c r="J62" s="98"/>
      <c r="K62" s="166">
        <f t="shared" ref="K62:Q62" si="43">K61*$C$76</f>
        <v>40000</v>
      </c>
      <c r="L62" s="166">
        <f t="shared" si="43"/>
        <v>24000</v>
      </c>
      <c r="M62" s="166">
        <f t="shared" si="43"/>
        <v>14400</v>
      </c>
      <c r="N62" s="166">
        <f t="shared" si="43"/>
        <v>8640</v>
      </c>
      <c r="O62" s="166">
        <f t="shared" si="43"/>
        <v>5184</v>
      </c>
      <c r="P62" s="166">
        <f t="shared" si="43"/>
        <v>3110.4</v>
      </c>
      <c r="Q62" s="166">
        <f t="shared" si="43"/>
        <v>1866.2400000000002</v>
      </c>
    </row>
    <row r="63" spans="1:17">
      <c r="A63" s="164" t="str">
        <f>A57</f>
        <v>Accumulated Depreciation</v>
      </c>
      <c r="B63" s="164"/>
      <c r="C63" s="166">
        <f>C62</f>
        <v>10000</v>
      </c>
      <c r="D63" s="166">
        <f t="shared" ref="D63:I63" si="44">D62+C63</f>
        <v>20000</v>
      </c>
      <c r="E63" s="166">
        <f t="shared" si="44"/>
        <v>30000</v>
      </c>
      <c r="F63" s="166">
        <f t="shared" si="44"/>
        <v>40000</v>
      </c>
      <c r="G63" s="166">
        <f t="shared" si="44"/>
        <v>50000</v>
      </c>
      <c r="H63" s="166">
        <f t="shared" si="44"/>
        <v>60000</v>
      </c>
      <c r="I63" s="166">
        <f t="shared" si="44"/>
        <v>70000</v>
      </c>
      <c r="J63" s="98"/>
      <c r="K63" s="166">
        <f>K62</f>
        <v>40000</v>
      </c>
      <c r="L63" s="166">
        <f t="shared" ref="L63:Q63" si="45">L62+K63</f>
        <v>64000</v>
      </c>
      <c r="M63" s="166">
        <f t="shared" si="45"/>
        <v>78400</v>
      </c>
      <c r="N63" s="166">
        <f t="shared" si="45"/>
        <v>87040</v>
      </c>
      <c r="O63" s="166">
        <f t="shared" si="45"/>
        <v>92224</v>
      </c>
      <c r="P63" s="166">
        <f t="shared" si="45"/>
        <v>95334.399999999994</v>
      </c>
      <c r="Q63" s="166">
        <f t="shared" si="45"/>
        <v>97200.639999999999</v>
      </c>
    </row>
    <row r="64" spans="1:17">
      <c r="A64" s="164" t="str">
        <f>A58</f>
        <v>Net Fixed Assets</v>
      </c>
      <c r="B64" s="164"/>
      <c r="C64" s="166">
        <f t="shared" ref="C64:I64" si="46">C61-C62</f>
        <v>90000</v>
      </c>
      <c r="D64" s="166">
        <f t="shared" si="46"/>
        <v>80000</v>
      </c>
      <c r="E64" s="166">
        <f t="shared" si="46"/>
        <v>70000</v>
      </c>
      <c r="F64" s="166">
        <f t="shared" si="46"/>
        <v>60000</v>
      </c>
      <c r="G64" s="166">
        <f t="shared" si="46"/>
        <v>50000</v>
      </c>
      <c r="H64" s="166">
        <f t="shared" si="46"/>
        <v>40000</v>
      </c>
      <c r="I64" s="166">
        <f t="shared" si="46"/>
        <v>30000</v>
      </c>
      <c r="J64" s="98"/>
      <c r="K64" s="166">
        <f t="shared" ref="K64:Q64" si="47">K61-K62</f>
        <v>60000</v>
      </c>
      <c r="L64" s="166">
        <f t="shared" si="47"/>
        <v>36000</v>
      </c>
      <c r="M64" s="166">
        <f t="shared" si="47"/>
        <v>21600</v>
      </c>
      <c r="N64" s="166">
        <f t="shared" si="47"/>
        <v>12960</v>
      </c>
      <c r="O64" s="166">
        <f t="shared" si="47"/>
        <v>7776</v>
      </c>
      <c r="P64" s="166">
        <f t="shared" si="47"/>
        <v>4665.6000000000004</v>
      </c>
      <c r="Q64" s="166">
        <f t="shared" si="47"/>
        <v>2799.36</v>
      </c>
    </row>
    <row r="65" spans="1:17">
      <c r="A65" s="165" t="s">
        <v>202</v>
      </c>
      <c r="B65" s="165"/>
      <c r="C65" s="167">
        <f t="shared" ref="C65:I68" si="48">C49+C43+C37+C55+C61</f>
        <v>5200008</v>
      </c>
      <c r="D65" s="167">
        <f t="shared" si="48"/>
        <v>4942507.4935999997</v>
      </c>
      <c r="E65" s="167">
        <f t="shared" si="48"/>
        <v>4685006.9872000003</v>
      </c>
      <c r="F65" s="167">
        <f t="shared" si="48"/>
        <v>4427506.4808</v>
      </c>
      <c r="G65" s="167">
        <f t="shared" si="48"/>
        <v>4170005.9744000002</v>
      </c>
      <c r="H65" s="167">
        <f t="shared" si="48"/>
        <v>3912505.4680000003</v>
      </c>
      <c r="I65" s="167">
        <f t="shared" si="48"/>
        <v>3655004.9616</v>
      </c>
      <c r="J65" s="98"/>
      <c r="K65" s="167">
        <f t="shared" ref="K65:Q68" si="49">K49+K43+K37+K55+K61</f>
        <v>5200008</v>
      </c>
      <c r="L65" s="167">
        <f t="shared" si="49"/>
        <v>4525006.8</v>
      </c>
      <c r="M65" s="167">
        <f t="shared" si="49"/>
        <v>3948255.78</v>
      </c>
      <c r="N65" s="167">
        <f t="shared" si="49"/>
        <v>3452317.4129999997</v>
      </c>
      <c r="O65" s="167">
        <f t="shared" si="49"/>
        <v>3023839.8010499999</v>
      </c>
      <c r="P65" s="167">
        <f t="shared" si="49"/>
        <v>2652316.8308924995</v>
      </c>
      <c r="Q65" s="167">
        <f t="shared" si="49"/>
        <v>2329289.0062586251</v>
      </c>
    </row>
    <row r="66" spans="1:17">
      <c r="A66" s="165" t="s">
        <v>203</v>
      </c>
      <c r="B66" s="165"/>
      <c r="C66" s="167">
        <f t="shared" si="48"/>
        <v>257500.50639999998</v>
      </c>
      <c r="D66" s="167">
        <f t="shared" si="48"/>
        <v>257500.50639999998</v>
      </c>
      <c r="E66" s="167">
        <f t="shared" si="48"/>
        <v>257500.50639999998</v>
      </c>
      <c r="F66" s="167">
        <f t="shared" si="48"/>
        <v>257500.50639999998</v>
      </c>
      <c r="G66" s="167">
        <f t="shared" si="48"/>
        <v>257500.50639999998</v>
      </c>
      <c r="H66" s="167">
        <f t="shared" si="48"/>
        <v>257500.50639999998</v>
      </c>
      <c r="I66" s="167">
        <f t="shared" si="48"/>
        <v>257500.50639999998</v>
      </c>
      <c r="J66" s="98"/>
      <c r="K66" s="167">
        <f t="shared" si="49"/>
        <v>675001.2</v>
      </c>
      <c r="L66" s="167">
        <f t="shared" si="49"/>
        <v>576751.02</v>
      </c>
      <c r="M66" s="167">
        <f t="shared" si="49"/>
        <v>495938.36699999997</v>
      </c>
      <c r="N66" s="167">
        <f t="shared" si="49"/>
        <v>428477.61194999993</v>
      </c>
      <c r="O66" s="167">
        <f t="shared" si="49"/>
        <v>371522.97015749995</v>
      </c>
      <c r="P66" s="167">
        <f t="shared" si="49"/>
        <v>323027.82463387499</v>
      </c>
      <c r="Q66" s="167">
        <f t="shared" si="49"/>
        <v>281472.42093879369</v>
      </c>
    </row>
    <row r="67" spans="1:17">
      <c r="A67" s="165" t="s">
        <v>204</v>
      </c>
      <c r="B67" s="165"/>
      <c r="C67" s="167">
        <f t="shared" si="48"/>
        <v>257500.50639999998</v>
      </c>
      <c r="D67" s="167">
        <f t="shared" si="48"/>
        <v>515001.01279999997</v>
      </c>
      <c r="E67" s="167">
        <f t="shared" si="48"/>
        <v>772501.51919999998</v>
      </c>
      <c r="F67" s="167">
        <f t="shared" si="48"/>
        <v>1030002.0255999999</v>
      </c>
      <c r="G67" s="167">
        <f t="shared" si="48"/>
        <v>1287502.5319999999</v>
      </c>
      <c r="H67" s="167">
        <f t="shared" si="48"/>
        <v>1545003.0384</v>
      </c>
      <c r="I67" s="167">
        <f t="shared" si="48"/>
        <v>1802503.5447999998</v>
      </c>
      <c r="J67" s="98"/>
      <c r="K67" s="167">
        <f t="shared" si="49"/>
        <v>675001.2</v>
      </c>
      <c r="L67" s="167">
        <f t="shared" si="49"/>
        <v>1251752.22</v>
      </c>
      <c r="M67" s="167">
        <f t="shared" si="49"/>
        <v>1747690.5869999998</v>
      </c>
      <c r="N67" s="167">
        <f t="shared" si="49"/>
        <v>2176168.1989500001</v>
      </c>
      <c r="O67" s="167">
        <f t="shared" si="49"/>
        <v>2547691.1691074995</v>
      </c>
      <c r="P67" s="167">
        <f t="shared" si="49"/>
        <v>2870718.9937413745</v>
      </c>
      <c r="Q67" s="167">
        <f t="shared" si="49"/>
        <v>3152191.4146801685</v>
      </c>
    </row>
    <row r="68" spans="1:17">
      <c r="A68" s="165" t="s">
        <v>198</v>
      </c>
      <c r="B68" s="165"/>
      <c r="C68" s="167">
        <f t="shared" si="48"/>
        <v>4942507.4935999997</v>
      </c>
      <c r="D68" s="167">
        <f t="shared" si="48"/>
        <v>4685006.9872000003</v>
      </c>
      <c r="E68" s="167">
        <f t="shared" si="48"/>
        <v>4427506.4808</v>
      </c>
      <c r="F68" s="167">
        <f t="shared" si="48"/>
        <v>4170005.9744000002</v>
      </c>
      <c r="G68" s="167">
        <f t="shared" si="48"/>
        <v>3912505.4680000003</v>
      </c>
      <c r="H68" s="167">
        <f t="shared" si="48"/>
        <v>3655004.9616</v>
      </c>
      <c r="I68" s="167">
        <f t="shared" si="48"/>
        <v>3397504.4551999997</v>
      </c>
      <c r="J68" s="98"/>
      <c r="K68" s="167">
        <f t="shared" si="49"/>
        <v>4525006.8</v>
      </c>
      <c r="L68" s="167">
        <f t="shared" si="49"/>
        <v>3948255.78</v>
      </c>
      <c r="M68" s="167">
        <f t="shared" si="49"/>
        <v>3452317.4129999997</v>
      </c>
      <c r="N68" s="167">
        <f t="shared" si="49"/>
        <v>3023839.8010499999</v>
      </c>
      <c r="O68" s="167">
        <f t="shared" si="49"/>
        <v>2652316.8308924995</v>
      </c>
      <c r="P68" s="167">
        <f t="shared" si="49"/>
        <v>2329289.0062586251</v>
      </c>
      <c r="Q68" s="167">
        <f t="shared" si="49"/>
        <v>2047816.585319831</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2" t="s">
        <v>706</v>
      </c>
      <c r="B83" s="412"/>
      <c r="C83" s="412"/>
      <c r="D83" s="412"/>
      <c r="E83" s="412"/>
      <c r="F83" s="412"/>
      <c r="G83" s="412"/>
      <c r="H83" s="412"/>
      <c r="I83" s="412"/>
      <c r="J83" s="412"/>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70000</v>
      </c>
      <c r="D86" s="157">
        <f>'1.Project Cost and MOF'!$D$11/5</f>
        <v>70000</v>
      </c>
      <c r="E86" s="157">
        <f>'1.Project Cost and MOF'!$D$11/5</f>
        <v>70000</v>
      </c>
      <c r="F86" s="157">
        <f>'1.Project Cost and MOF'!$D$11/5</f>
        <v>70000</v>
      </c>
      <c r="G86" s="157">
        <f>'1.Project Cost and MOF'!$D$11/5</f>
        <v>70000</v>
      </c>
      <c r="H86" s="157">
        <v>0</v>
      </c>
      <c r="I86" s="157">
        <v>0</v>
      </c>
      <c r="J86" s="38"/>
      <c r="K86" s="38"/>
      <c r="L86" s="38"/>
    </row>
    <row r="87" spans="1:12" s="65" customFormat="1">
      <c r="A87" s="158" t="s">
        <v>340</v>
      </c>
      <c r="B87" s="159"/>
      <c r="C87" s="160">
        <f t="shared" ref="C87:I87" si="50">SUM(C85:C86)</f>
        <v>70000</v>
      </c>
      <c r="D87" s="160">
        <f t="shared" si="50"/>
        <v>70000</v>
      </c>
      <c r="E87" s="160">
        <f t="shared" si="50"/>
        <v>70000</v>
      </c>
      <c r="F87" s="160">
        <f t="shared" si="50"/>
        <v>70000</v>
      </c>
      <c r="G87" s="160">
        <f t="shared" si="50"/>
        <v>70000</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7" t="s">
        <v>551</v>
      </c>
      <c r="B92" s="427"/>
      <c r="C92" s="427"/>
      <c r="D92" s="427"/>
      <c r="E92" s="427"/>
      <c r="F92" s="427"/>
      <c r="G92" s="427"/>
      <c r="H92" s="427"/>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-969498.23257473879</v>
      </c>
      <c r="C95" s="150">
        <f>'6.Cons Profit &amp; Loss'!C47</f>
        <v>863966.5371193859</v>
      </c>
      <c r="D95" s="150">
        <f>'6.Cons Profit &amp; Loss'!D47</f>
        <v>1687656.5900118949</v>
      </c>
      <c r="E95" s="150">
        <f>'6.Cons Profit &amp; Loss'!E47</f>
        <v>2590736.9805848449</v>
      </c>
      <c r="F95" s="150">
        <f>'6.Cons Profit &amp; Loss'!F47</f>
        <v>3579087.5174740655</v>
      </c>
      <c r="G95" s="150">
        <f>'6.Cons Profit &amp; Loss'!G47</f>
        <v>4698648.8684155745</v>
      </c>
      <c r="H95" s="150">
        <f>'6.Cons Profit &amp; Loss'!H47</f>
        <v>5843399.8843915528</v>
      </c>
      <c r="I95" s="37"/>
      <c r="J95" s="37"/>
      <c r="K95" s="37"/>
    </row>
    <row r="96" spans="1:12">
      <c r="A96" s="87" t="s">
        <v>227</v>
      </c>
      <c r="B96" s="150">
        <f>'6.Cons Profit &amp; Loss'!B40</f>
        <v>257500.50639999998</v>
      </c>
      <c r="C96" s="150">
        <f>'6.Cons Profit &amp; Loss'!C40</f>
        <v>257500.50639999998</v>
      </c>
      <c r="D96" s="150">
        <f>'6.Cons Profit &amp; Loss'!D40</f>
        <v>257500.50639999998</v>
      </c>
      <c r="E96" s="150">
        <f>'6.Cons Profit &amp; Loss'!E40</f>
        <v>257500.50639999998</v>
      </c>
      <c r="F96" s="150">
        <f>'6.Cons Profit &amp; Loss'!F40</f>
        <v>257500.50639999998</v>
      </c>
      <c r="G96" s="150">
        <f>'6.Cons Profit &amp; Loss'!G40</f>
        <v>257500.50639999998</v>
      </c>
      <c r="H96" s="150">
        <f>'6.Cons Profit &amp; Loss'!H40</f>
        <v>257500.50639999998</v>
      </c>
      <c r="I96" s="37"/>
      <c r="J96" s="37"/>
      <c r="K96" s="37"/>
    </row>
    <row r="97" spans="1:11">
      <c r="A97" s="87" t="s">
        <v>228</v>
      </c>
      <c r="B97" s="150">
        <f>'3.Other Exp &amp; Taxes'!K66</f>
        <v>675001.2</v>
      </c>
      <c r="C97" s="150">
        <f>'3.Other Exp &amp; Taxes'!L66</f>
        <v>576751.02</v>
      </c>
      <c r="D97" s="150">
        <f>'3.Other Exp &amp; Taxes'!M66</f>
        <v>495938.36699999997</v>
      </c>
      <c r="E97" s="150">
        <f>'3.Other Exp &amp; Taxes'!N66</f>
        <v>428477.61194999993</v>
      </c>
      <c r="F97" s="150">
        <f>'3.Other Exp &amp; Taxes'!O66</f>
        <v>371522.97015749995</v>
      </c>
      <c r="G97" s="150">
        <f>'3.Other Exp &amp; Taxes'!P66</f>
        <v>323027.82463387499</v>
      </c>
      <c r="H97" s="150">
        <f>'3.Other Exp &amp; Taxes'!Q66</f>
        <v>281472.42093879369</v>
      </c>
      <c r="I97" s="37"/>
      <c r="J97" s="37"/>
      <c r="K97" s="37"/>
    </row>
    <row r="98" spans="1:11">
      <c r="A98" s="87" t="s">
        <v>289</v>
      </c>
      <c r="B98" s="150">
        <f t="shared" ref="B98:H98" si="51">B95+B96-B97</f>
        <v>-1386998.9261747389</v>
      </c>
      <c r="C98" s="150">
        <f t="shared" si="51"/>
        <v>544716.02351938584</v>
      </c>
      <c r="D98" s="150">
        <f t="shared" si="51"/>
        <v>1449218.7294118949</v>
      </c>
      <c r="E98" s="150">
        <f t="shared" si="51"/>
        <v>2419759.875034845</v>
      </c>
      <c r="F98" s="150">
        <f t="shared" si="51"/>
        <v>3465065.0537165655</v>
      </c>
      <c r="G98" s="150">
        <f t="shared" si="51"/>
        <v>4633121.5501816999</v>
      </c>
      <c r="H98" s="150">
        <f t="shared" si="51"/>
        <v>5819427.9698527595</v>
      </c>
      <c r="I98" s="37"/>
      <c r="J98" s="37"/>
      <c r="K98" s="37"/>
    </row>
    <row r="99" spans="1:11">
      <c r="A99" s="89" t="s">
        <v>229</v>
      </c>
      <c r="B99" s="151">
        <f t="shared" ref="B99:H99" si="52">B98*$B$102</f>
        <v>-346749.73154368473</v>
      </c>
      <c r="C99" s="151">
        <f t="shared" si="52"/>
        <v>136179.00587984646</v>
      </c>
      <c r="D99" s="151">
        <f t="shared" si="52"/>
        <v>362304.68235297373</v>
      </c>
      <c r="E99" s="151">
        <f t="shared" si="52"/>
        <v>604939.96875871124</v>
      </c>
      <c r="F99" s="151">
        <f t="shared" si="52"/>
        <v>866266.26342914137</v>
      </c>
      <c r="G99" s="151">
        <f t="shared" si="52"/>
        <v>1158280.387545425</v>
      </c>
      <c r="H99" s="151">
        <f t="shared" si="52"/>
        <v>1454856.9924631899</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8" t="s">
        <v>424</v>
      </c>
      <c r="B104" s="428"/>
      <c r="C104" s="428"/>
      <c r="D104" s="428"/>
      <c r="E104" s="428"/>
      <c r="F104" s="428"/>
      <c r="G104" s="428"/>
      <c r="H104" s="428"/>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dimension ref="A2:I98"/>
  <sheetViews>
    <sheetView view="pageBreakPreview" topLeftCell="A3" zoomScale="80" zoomScaleSheetLayoutView="80" workbookViewId="0">
      <selection activeCell="A7" sqref="A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5" t="s">
        <v>707</v>
      </c>
      <c r="B2" s="415"/>
      <c r="C2" s="415"/>
      <c r="D2" s="415"/>
      <c r="E2" s="415"/>
      <c r="F2" s="415"/>
      <c r="G2" s="432"/>
    </row>
    <row r="3" spans="1:7">
      <c r="B3" s="15"/>
      <c r="C3" s="15"/>
      <c r="D3" s="15"/>
      <c r="E3" s="15"/>
      <c r="F3" s="15"/>
      <c r="G3" s="15"/>
    </row>
    <row r="4" spans="1:7">
      <c r="A4" s="93"/>
      <c r="B4" s="93"/>
      <c r="C4" s="93" t="s">
        <v>470</v>
      </c>
      <c r="D4" s="111">
        <f>'1.Project Cost and MOF'!E21</f>
        <v>0</v>
      </c>
      <c r="E4" s="93"/>
      <c r="F4" s="93"/>
      <c r="G4" s="93"/>
    </row>
    <row r="5" spans="1:7">
      <c r="A5" s="93"/>
      <c r="B5" s="93"/>
      <c r="C5" s="93" t="s">
        <v>471</v>
      </c>
      <c r="D5" s="264">
        <v>0.12</v>
      </c>
      <c r="E5" s="93"/>
      <c r="F5" s="93"/>
      <c r="G5" s="93"/>
    </row>
    <row r="6" spans="1:7">
      <c r="A6" s="93"/>
      <c r="B6" s="93"/>
      <c r="C6" s="93" t="s">
        <v>472</v>
      </c>
      <c r="D6" s="265">
        <v>7</v>
      </c>
      <c r="E6" s="93"/>
      <c r="F6" s="93"/>
      <c r="G6" s="93"/>
    </row>
    <row r="7" spans="1:7">
      <c r="A7" s="93"/>
      <c r="B7" s="93"/>
      <c r="C7" s="93" t="s">
        <v>473</v>
      </c>
      <c r="D7" s="265">
        <v>6</v>
      </c>
      <c r="E7" s="93"/>
      <c r="F7" s="93"/>
      <c r="G7" s="93"/>
    </row>
    <row r="8" spans="1:7">
      <c r="A8" s="93"/>
      <c r="B8" s="93"/>
      <c r="C8" s="93" t="s">
        <v>22</v>
      </c>
      <c r="D8" s="210">
        <f>PMT(D5/12,(D6-(D7/12))*12,-D4)</f>
        <v>0</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0</v>
      </c>
      <c r="D10" s="95">
        <f t="shared" ref="D10:D41" si="0">C10*$D$5/12</f>
        <v>0</v>
      </c>
      <c r="E10" s="95">
        <f t="shared" ref="E10:E15" si="1">F10-D10</f>
        <v>0</v>
      </c>
      <c r="F10" s="95">
        <f>D10</f>
        <v>0</v>
      </c>
      <c r="G10" s="95">
        <f>C10-E10</f>
        <v>0</v>
      </c>
    </row>
    <row r="11" spans="1:7">
      <c r="A11" s="94"/>
      <c r="B11" s="94" t="s">
        <v>53</v>
      </c>
      <c r="C11" s="95">
        <f>G10</f>
        <v>0</v>
      </c>
      <c r="D11" s="95">
        <f t="shared" si="0"/>
        <v>0</v>
      </c>
      <c r="E11" s="95">
        <f t="shared" si="1"/>
        <v>0</v>
      </c>
      <c r="F11" s="95">
        <f t="shared" ref="F11:F15" si="2">D11</f>
        <v>0</v>
      </c>
      <c r="G11" s="95">
        <f t="shared" ref="G11:G74" si="3">C11-E11</f>
        <v>0</v>
      </c>
    </row>
    <row r="12" spans="1:7">
      <c r="A12" s="94"/>
      <c r="B12" s="94" t="s">
        <v>54</v>
      </c>
      <c r="C12" s="95">
        <f t="shared" ref="C12:C75" si="4">G11</f>
        <v>0</v>
      </c>
      <c r="D12" s="95">
        <f t="shared" si="0"/>
        <v>0</v>
      </c>
      <c r="E12" s="95">
        <f t="shared" si="1"/>
        <v>0</v>
      </c>
      <c r="F12" s="95">
        <f t="shared" si="2"/>
        <v>0</v>
      </c>
      <c r="G12" s="95">
        <f t="shared" si="3"/>
        <v>0</v>
      </c>
    </row>
    <row r="13" spans="1:7">
      <c r="A13" s="94"/>
      <c r="B13" s="94" t="s">
        <v>55</v>
      </c>
      <c r="C13" s="95">
        <f t="shared" si="4"/>
        <v>0</v>
      </c>
      <c r="D13" s="95">
        <f t="shared" si="0"/>
        <v>0</v>
      </c>
      <c r="E13" s="95">
        <f t="shared" si="1"/>
        <v>0</v>
      </c>
      <c r="F13" s="95">
        <f t="shared" si="2"/>
        <v>0</v>
      </c>
      <c r="G13" s="95">
        <f t="shared" si="3"/>
        <v>0</v>
      </c>
    </row>
    <row r="14" spans="1:7">
      <c r="A14" s="94"/>
      <c r="B14" s="94" t="s">
        <v>56</v>
      </c>
      <c r="C14" s="95">
        <f t="shared" si="4"/>
        <v>0</v>
      </c>
      <c r="D14" s="95">
        <f t="shared" si="0"/>
        <v>0</v>
      </c>
      <c r="E14" s="95">
        <f t="shared" si="1"/>
        <v>0</v>
      </c>
      <c r="F14" s="95">
        <f t="shared" si="2"/>
        <v>0</v>
      </c>
      <c r="G14" s="95">
        <f t="shared" si="3"/>
        <v>0</v>
      </c>
    </row>
    <row r="15" spans="1:7">
      <c r="A15" s="94"/>
      <c r="B15" s="94" t="s">
        <v>57</v>
      </c>
      <c r="C15" s="95">
        <f t="shared" si="4"/>
        <v>0</v>
      </c>
      <c r="D15" s="95">
        <f t="shared" si="0"/>
        <v>0</v>
      </c>
      <c r="E15" s="95">
        <f t="shared" si="1"/>
        <v>0</v>
      </c>
      <c r="F15" s="95">
        <f t="shared" si="2"/>
        <v>0</v>
      </c>
      <c r="G15" s="95">
        <f t="shared" si="3"/>
        <v>0</v>
      </c>
    </row>
    <row r="16" spans="1:7">
      <c r="A16" s="94"/>
      <c r="B16" s="94" t="s">
        <v>58</v>
      </c>
      <c r="C16" s="95">
        <f t="shared" si="4"/>
        <v>0</v>
      </c>
      <c r="D16" s="95">
        <f t="shared" si="0"/>
        <v>0</v>
      </c>
      <c r="E16" s="95">
        <f>F16-D16</f>
        <v>0</v>
      </c>
      <c r="F16" s="95">
        <f t="shared" ref="F16:F74" si="5">$D$8</f>
        <v>0</v>
      </c>
      <c r="G16" s="95">
        <f t="shared" si="3"/>
        <v>0</v>
      </c>
    </row>
    <row r="17" spans="1:9">
      <c r="A17" s="94"/>
      <c r="B17" s="94" t="s">
        <v>59</v>
      </c>
      <c r="C17" s="95">
        <f t="shared" si="4"/>
        <v>0</v>
      </c>
      <c r="D17" s="95">
        <f t="shared" si="0"/>
        <v>0</v>
      </c>
      <c r="E17" s="95">
        <f t="shared" ref="E17:E80" si="6">F17-D17</f>
        <v>0</v>
      </c>
      <c r="F17" s="95">
        <f t="shared" si="5"/>
        <v>0</v>
      </c>
      <c r="G17" s="95">
        <f t="shared" si="3"/>
        <v>0</v>
      </c>
    </row>
    <row r="18" spans="1:9">
      <c r="A18" s="94"/>
      <c r="B18" s="94" t="s">
        <v>60</v>
      </c>
      <c r="C18" s="95">
        <f t="shared" si="4"/>
        <v>0</v>
      </c>
      <c r="D18" s="95">
        <f t="shared" si="0"/>
        <v>0</v>
      </c>
      <c r="E18" s="95">
        <f t="shared" si="6"/>
        <v>0</v>
      </c>
      <c r="F18" s="95">
        <f t="shared" si="5"/>
        <v>0</v>
      </c>
      <c r="G18" s="95">
        <f t="shared" si="3"/>
        <v>0</v>
      </c>
    </row>
    <row r="19" spans="1:9">
      <c r="A19" s="94"/>
      <c r="B19" s="94" t="s">
        <v>61</v>
      </c>
      <c r="C19" s="95">
        <f t="shared" si="4"/>
        <v>0</v>
      </c>
      <c r="D19" s="95">
        <f t="shared" si="0"/>
        <v>0</v>
      </c>
      <c r="E19" s="95">
        <f t="shared" si="6"/>
        <v>0</v>
      </c>
      <c r="F19" s="95">
        <f t="shared" si="5"/>
        <v>0</v>
      </c>
      <c r="G19" s="95">
        <f t="shared" si="3"/>
        <v>0</v>
      </c>
    </row>
    <row r="20" spans="1:9">
      <c r="A20" s="94"/>
      <c r="B20" s="94" t="s">
        <v>62</v>
      </c>
      <c r="C20" s="95">
        <f t="shared" si="4"/>
        <v>0</v>
      </c>
      <c r="D20" s="95">
        <f t="shared" si="0"/>
        <v>0</v>
      </c>
      <c r="E20" s="95">
        <f t="shared" si="6"/>
        <v>0</v>
      </c>
      <c r="F20" s="95">
        <f t="shared" si="5"/>
        <v>0</v>
      </c>
      <c r="G20" s="95">
        <f t="shared" si="3"/>
        <v>0</v>
      </c>
    </row>
    <row r="21" spans="1:9">
      <c r="A21" s="94"/>
      <c r="B21" s="94" t="s">
        <v>63</v>
      </c>
      <c r="C21" s="95">
        <f t="shared" si="4"/>
        <v>0</v>
      </c>
      <c r="D21" s="95">
        <f t="shared" si="0"/>
        <v>0</v>
      </c>
      <c r="E21" s="95">
        <f t="shared" si="6"/>
        <v>0</v>
      </c>
      <c r="F21" s="95">
        <f t="shared" si="5"/>
        <v>0</v>
      </c>
      <c r="G21" s="95">
        <f t="shared" si="3"/>
        <v>0</v>
      </c>
      <c r="H21" s="1"/>
      <c r="I21" s="1"/>
    </row>
    <row r="22" spans="1:9">
      <c r="A22" s="94" t="s">
        <v>12</v>
      </c>
      <c r="B22" s="94" t="s">
        <v>64</v>
      </c>
      <c r="C22" s="95">
        <f t="shared" si="4"/>
        <v>0</v>
      </c>
      <c r="D22" s="95">
        <f t="shared" si="0"/>
        <v>0</v>
      </c>
      <c r="E22" s="95">
        <f t="shared" si="6"/>
        <v>0</v>
      </c>
      <c r="F22" s="95">
        <f t="shared" si="5"/>
        <v>0</v>
      </c>
      <c r="G22" s="95">
        <f t="shared" si="3"/>
        <v>0</v>
      </c>
    </row>
    <row r="23" spans="1:9">
      <c r="A23" s="94"/>
      <c r="B23" s="94" t="s">
        <v>65</v>
      </c>
      <c r="C23" s="95">
        <f t="shared" si="4"/>
        <v>0</v>
      </c>
      <c r="D23" s="95">
        <f t="shared" si="0"/>
        <v>0</v>
      </c>
      <c r="E23" s="95">
        <f t="shared" si="6"/>
        <v>0</v>
      </c>
      <c r="F23" s="95">
        <f t="shared" si="5"/>
        <v>0</v>
      </c>
      <c r="G23" s="95">
        <f t="shared" si="3"/>
        <v>0</v>
      </c>
    </row>
    <row r="24" spans="1:9">
      <c r="A24" s="94"/>
      <c r="B24" s="94" t="s">
        <v>66</v>
      </c>
      <c r="C24" s="95">
        <f t="shared" si="4"/>
        <v>0</v>
      </c>
      <c r="D24" s="95">
        <f t="shared" si="0"/>
        <v>0</v>
      </c>
      <c r="E24" s="95">
        <f t="shared" si="6"/>
        <v>0</v>
      </c>
      <c r="F24" s="95">
        <f t="shared" si="5"/>
        <v>0</v>
      </c>
      <c r="G24" s="95">
        <f t="shared" si="3"/>
        <v>0</v>
      </c>
    </row>
    <row r="25" spans="1:9">
      <c r="A25" s="94"/>
      <c r="B25" s="94" t="s">
        <v>67</v>
      </c>
      <c r="C25" s="95">
        <f t="shared" si="4"/>
        <v>0</v>
      </c>
      <c r="D25" s="95">
        <f t="shared" si="0"/>
        <v>0</v>
      </c>
      <c r="E25" s="95">
        <f t="shared" si="6"/>
        <v>0</v>
      </c>
      <c r="F25" s="95">
        <f t="shared" si="5"/>
        <v>0</v>
      </c>
      <c r="G25" s="95">
        <f t="shared" si="3"/>
        <v>0</v>
      </c>
    </row>
    <row r="26" spans="1:9">
      <c r="A26" s="94"/>
      <c r="B26" s="94" t="s">
        <v>68</v>
      </c>
      <c r="C26" s="95">
        <f t="shared" si="4"/>
        <v>0</v>
      </c>
      <c r="D26" s="95">
        <f t="shared" si="0"/>
        <v>0</v>
      </c>
      <c r="E26" s="95">
        <f t="shared" si="6"/>
        <v>0</v>
      </c>
      <c r="F26" s="95">
        <f t="shared" si="5"/>
        <v>0</v>
      </c>
      <c r="G26" s="95">
        <f t="shared" si="3"/>
        <v>0</v>
      </c>
    </row>
    <row r="27" spans="1:9">
      <c r="A27" s="94"/>
      <c r="B27" s="94" t="s">
        <v>69</v>
      </c>
      <c r="C27" s="95">
        <f t="shared" si="4"/>
        <v>0</v>
      </c>
      <c r="D27" s="95">
        <f t="shared" si="0"/>
        <v>0</v>
      </c>
      <c r="E27" s="95">
        <f t="shared" si="6"/>
        <v>0</v>
      </c>
      <c r="F27" s="95">
        <f t="shared" si="5"/>
        <v>0</v>
      </c>
      <c r="G27" s="95">
        <f t="shared" si="3"/>
        <v>0</v>
      </c>
    </row>
    <row r="28" spans="1:9">
      <c r="A28" s="94"/>
      <c r="B28" s="94" t="s">
        <v>70</v>
      </c>
      <c r="C28" s="95">
        <f t="shared" si="4"/>
        <v>0</v>
      </c>
      <c r="D28" s="95">
        <f t="shared" si="0"/>
        <v>0</v>
      </c>
      <c r="E28" s="95">
        <f t="shared" si="6"/>
        <v>0</v>
      </c>
      <c r="F28" s="95">
        <f t="shared" si="5"/>
        <v>0</v>
      </c>
      <c r="G28" s="95">
        <f t="shared" si="3"/>
        <v>0</v>
      </c>
    </row>
    <row r="29" spans="1:9">
      <c r="A29" s="94"/>
      <c r="B29" s="94" t="s">
        <v>71</v>
      </c>
      <c r="C29" s="95">
        <f t="shared" si="4"/>
        <v>0</v>
      </c>
      <c r="D29" s="95">
        <f t="shared" si="0"/>
        <v>0</v>
      </c>
      <c r="E29" s="95">
        <f t="shared" si="6"/>
        <v>0</v>
      </c>
      <c r="F29" s="95">
        <f t="shared" si="5"/>
        <v>0</v>
      </c>
      <c r="G29" s="95">
        <f t="shared" si="3"/>
        <v>0</v>
      </c>
    </row>
    <row r="30" spans="1:9">
      <c r="A30" s="94"/>
      <c r="B30" s="94" t="s">
        <v>72</v>
      </c>
      <c r="C30" s="95">
        <f t="shared" si="4"/>
        <v>0</v>
      </c>
      <c r="D30" s="95">
        <f t="shared" si="0"/>
        <v>0</v>
      </c>
      <c r="E30" s="95">
        <f t="shared" si="6"/>
        <v>0</v>
      </c>
      <c r="F30" s="95">
        <f t="shared" si="5"/>
        <v>0</v>
      </c>
      <c r="G30" s="95">
        <f t="shared" si="3"/>
        <v>0</v>
      </c>
    </row>
    <row r="31" spans="1:9">
      <c r="A31" s="94"/>
      <c r="B31" s="94" t="s">
        <v>73</v>
      </c>
      <c r="C31" s="95">
        <f t="shared" si="4"/>
        <v>0</v>
      </c>
      <c r="D31" s="95">
        <f t="shared" si="0"/>
        <v>0</v>
      </c>
      <c r="E31" s="95">
        <f t="shared" si="6"/>
        <v>0</v>
      </c>
      <c r="F31" s="95">
        <f t="shared" si="5"/>
        <v>0</v>
      </c>
      <c r="G31" s="95">
        <f t="shared" si="3"/>
        <v>0</v>
      </c>
    </row>
    <row r="32" spans="1:9">
      <c r="A32" s="94"/>
      <c r="B32" s="94" t="s">
        <v>74</v>
      </c>
      <c r="C32" s="95">
        <f t="shared" si="4"/>
        <v>0</v>
      </c>
      <c r="D32" s="95">
        <f t="shared" si="0"/>
        <v>0</v>
      </c>
      <c r="E32" s="95">
        <f t="shared" si="6"/>
        <v>0</v>
      </c>
      <c r="F32" s="95">
        <f t="shared" si="5"/>
        <v>0</v>
      </c>
      <c r="G32" s="95">
        <f t="shared" si="3"/>
        <v>0</v>
      </c>
    </row>
    <row r="33" spans="1:9">
      <c r="A33" s="94"/>
      <c r="B33" s="94" t="s">
        <v>75</v>
      </c>
      <c r="C33" s="95">
        <f t="shared" si="4"/>
        <v>0</v>
      </c>
      <c r="D33" s="95">
        <f t="shared" si="0"/>
        <v>0</v>
      </c>
      <c r="E33" s="95">
        <f t="shared" si="6"/>
        <v>0</v>
      </c>
      <c r="F33" s="95">
        <f t="shared" si="5"/>
        <v>0</v>
      </c>
      <c r="G33" s="95">
        <f t="shared" si="3"/>
        <v>0</v>
      </c>
      <c r="H33" s="1"/>
      <c r="I33" s="1"/>
    </row>
    <row r="34" spans="1:9">
      <c r="A34" s="94" t="s">
        <v>13</v>
      </c>
      <c r="B34" s="94" t="s">
        <v>76</v>
      </c>
      <c r="C34" s="95">
        <f t="shared" si="4"/>
        <v>0</v>
      </c>
      <c r="D34" s="95">
        <f t="shared" si="0"/>
        <v>0</v>
      </c>
      <c r="E34" s="95">
        <f t="shared" si="6"/>
        <v>0</v>
      </c>
      <c r="F34" s="95">
        <f t="shared" si="5"/>
        <v>0</v>
      </c>
      <c r="G34" s="95">
        <f t="shared" si="3"/>
        <v>0</v>
      </c>
    </row>
    <row r="35" spans="1:9">
      <c r="A35" s="94"/>
      <c r="B35" s="94" t="s">
        <v>77</v>
      </c>
      <c r="C35" s="95">
        <f t="shared" si="4"/>
        <v>0</v>
      </c>
      <c r="D35" s="95">
        <f t="shared" si="0"/>
        <v>0</v>
      </c>
      <c r="E35" s="95">
        <f t="shared" si="6"/>
        <v>0</v>
      </c>
      <c r="F35" s="95">
        <f t="shared" si="5"/>
        <v>0</v>
      </c>
      <c r="G35" s="95">
        <f t="shared" si="3"/>
        <v>0</v>
      </c>
    </row>
    <row r="36" spans="1:9">
      <c r="A36" s="94"/>
      <c r="B36" s="94" t="s">
        <v>78</v>
      </c>
      <c r="C36" s="95">
        <f t="shared" si="4"/>
        <v>0</v>
      </c>
      <c r="D36" s="95">
        <f t="shared" si="0"/>
        <v>0</v>
      </c>
      <c r="E36" s="95">
        <f t="shared" si="6"/>
        <v>0</v>
      </c>
      <c r="F36" s="95">
        <f t="shared" si="5"/>
        <v>0</v>
      </c>
      <c r="G36" s="95">
        <f t="shared" si="3"/>
        <v>0</v>
      </c>
    </row>
    <row r="37" spans="1:9">
      <c r="A37" s="94"/>
      <c r="B37" s="94" t="s">
        <v>79</v>
      </c>
      <c r="C37" s="95">
        <f t="shared" si="4"/>
        <v>0</v>
      </c>
      <c r="D37" s="95">
        <f t="shared" si="0"/>
        <v>0</v>
      </c>
      <c r="E37" s="95">
        <f t="shared" si="6"/>
        <v>0</v>
      </c>
      <c r="F37" s="95">
        <f t="shared" si="5"/>
        <v>0</v>
      </c>
      <c r="G37" s="95">
        <f t="shared" si="3"/>
        <v>0</v>
      </c>
    </row>
    <row r="38" spans="1:9">
      <c r="A38" s="94"/>
      <c r="B38" s="94" t="s">
        <v>80</v>
      </c>
      <c r="C38" s="95">
        <f t="shared" si="4"/>
        <v>0</v>
      </c>
      <c r="D38" s="95">
        <f t="shared" si="0"/>
        <v>0</v>
      </c>
      <c r="E38" s="95">
        <f t="shared" si="6"/>
        <v>0</v>
      </c>
      <c r="F38" s="95">
        <f t="shared" si="5"/>
        <v>0</v>
      </c>
      <c r="G38" s="95">
        <f t="shared" si="3"/>
        <v>0</v>
      </c>
    </row>
    <row r="39" spans="1:9">
      <c r="A39" s="94"/>
      <c r="B39" s="94" t="s">
        <v>81</v>
      </c>
      <c r="C39" s="95">
        <f t="shared" si="4"/>
        <v>0</v>
      </c>
      <c r="D39" s="95">
        <f t="shared" si="0"/>
        <v>0</v>
      </c>
      <c r="E39" s="95">
        <f t="shared" si="6"/>
        <v>0</v>
      </c>
      <c r="F39" s="95">
        <f t="shared" si="5"/>
        <v>0</v>
      </c>
      <c r="G39" s="95">
        <f t="shared" si="3"/>
        <v>0</v>
      </c>
    </row>
    <row r="40" spans="1:9">
      <c r="A40" s="94"/>
      <c r="B40" s="94" t="s">
        <v>82</v>
      </c>
      <c r="C40" s="95">
        <f t="shared" si="4"/>
        <v>0</v>
      </c>
      <c r="D40" s="95">
        <f t="shared" si="0"/>
        <v>0</v>
      </c>
      <c r="E40" s="95">
        <f t="shared" si="6"/>
        <v>0</v>
      </c>
      <c r="F40" s="95">
        <f t="shared" si="5"/>
        <v>0</v>
      </c>
      <c r="G40" s="95">
        <f t="shared" si="3"/>
        <v>0</v>
      </c>
    </row>
    <row r="41" spans="1:9">
      <c r="A41" s="94"/>
      <c r="B41" s="94" t="s">
        <v>83</v>
      </c>
      <c r="C41" s="95">
        <f t="shared" si="4"/>
        <v>0</v>
      </c>
      <c r="D41" s="95">
        <f t="shared" si="0"/>
        <v>0</v>
      </c>
      <c r="E41" s="95">
        <f t="shared" si="6"/>
        <v>0</v>
      </c>
      <c r="F41" s="95">
        <f t="shared" si="5"/>
        <v>0</v>
      </c>
      <c r="G41" s="95">
        <f t="shared" si="3"/>
        <v>0</v>
      </c>
    </row>
    <row r="42" spans="1:9">
      <c r="A42" s="94"/>
      <c r="B42" s="94" t="s">
        <v>84</v>
      </c>
      <c r="C42" s="95">
        <f t="shared" si="4"/>
        <v>0</v>
      </c>
      <c r="D42" s="95">
        <f t="shared" ref="D42:D73" si="7">C42*$D$5/12</f>
        <v>0</v>
      </c>
      <c r="E42" s="95">
        <f t="shared" si="6"/>
        <v>0</v>
      </c>
      <c r="F42" s="95">
        <f t="shared" si="5"/>
        <v>0</v>
      </c>
      <c r="G42" s="95">
        <f t="shared" si="3"/>
        <v>0</v>
      </c>
    </row>
    <row r="43" spans="1:9">
      <c r="A43" s="94"/>
      <c r="B43" s="94" t="s">
        <v>85</v>
      </c>
      <c r="C43" s="95">
        <f t="shared" si="4"/>
        <v>0</v>
      </c>
      <c r="D43" s="95">
        <f t="shared" si="7"/>
        <v>0</v>
      </c>
      <c r="E43" s="95">
        <f t="shared" si="6"/>
        <v>0</v>
      </c>
      <c r="F43" s="95">
        <f t="shared" si="5"/>
        <v>0</v>
      </c>
      <c r="G43" s="95">
        <f t="shared" si="3"/>
        <v>0</v>
      </c>
    </row>
    <row r="44" spans="1:9">
      <c r="A44" s="94"/>
      <c r="B44" s="94" t="s">
        <v>86</v>
      </c>
      <c r="C44" s="95">
        <f t="shared" si="4"/>
        <v>0</v>
      </c>
      <c r="D44" s="95">
        <f t="shared" si="7"/>
        <v>0</v>
      </c>
      <c r="E44" s="95">
        <f t="shared" si="6"/>
        <v>0</v>
      </c>
      <c r="F44" s="95">
        <f t="shared" si="5"/>
        <v>0</v>
      </c>
      <c r="G44" s="95">
        <f t="shared" si="3"/>
        <v>0</v>
      </c>
    </row>
    <row r="45" spans="1:9">
      <c r="A45" s="94"/>
      <c r="B45" s="94" t="s">
        <v>87</v>
      </c>
      <c r="C45" s="95">
        <f t="shared" si="4"/>
        <v>0</v>
      </c>
      <c r="D45" s="95">
        <f t="shared" si="7"/>
        <v>0</v>
      </c>
      <c r="E45" s="95">
        <f t="shared" si="6"/>
        <v>0</v>
      </c>
      <c r="F45" s="95">
        <f t="shared" si="5"/>
        <v>0</v>
      </c>
      <c r="G45" s="95">
        <f t="shared" si="3"/>
        <v>0</v>
      </c>
      <c r="H45" s="1"/>
      <c r="I45" s="1"/>
    </row>
    <row r="46" spans="1:9">
      <c r="A46" s="94" t="s">
        <v>14</v>
      </c>
      <c r="B46" s="94" t="s">
        <v>88</v>
      </c>
      <c r="C46" s="95">
        <f t="shared" si="4"/>
        <v>0</v>
      </c>
      <c r="D46" s="95">
        <f t="shared" si="7"/>
        <v>0</v>
      </c>
      <c r="E46" s="95">
        <f t="shared" si="6"/>
        <v>0</v>
      </c>
      <c r="F46" s="95">
        <f t="shared" si="5"/>
        <v>0</v>
      </c>
      <c r="G46" s="95">
        <f t="shared" si="3"/>
        <v>0</v>
      </c>
    </row>
    <row r="47" spans="1:9">
      <c r="A47" s="94"/>
      <c r="B47" s="94" t="s">
        <v>89</v>
      </c>
      <c r="C47" s="95">
        <f t="shared" si="4"/>
        <v>0</v>
      </c>
      <c r="D47" s="95">
        <f t="shared" si="7"/>
        <v>0</v>
      </c>
      <c r="E47" s="95">
        <f t="shared" si="6"/>
        <v>0</v>
      </c>
      <c r="F47" s="95">
        <f t="shared" si="5"/>
        <v>0</v>
      </c>
      <c r="G47" s="95">
        <f t="shared" si="3"/>
        <v>0</v>
      </c>
    </row>
    <row r="48" spans="1:9">
      <c r="A48" s="94"/>
      <c r="B48" s="94" t="s">
        <v>90</v>
      </c>
      <c r="C48" s="95">
        <f t="shared" si="4"/>
        <v>0</v>
      </c>
      <c r="D48" s="95">
        <f t="shared" si="7"/>
        <v>0</v>
      </c>
      <c r="E48" s="95">
        <f t="shared" si="6"/>
        <v>0</v>
      </c>
      <c r="F48" s="95">
        <f t="shared" si="5"/>
        <v>0</v>
      </c>
      <c r="G48" s="95">
        <f t="shared" si="3"/>
        <v>0</v>
      </c>
    </row>
    <row r="49" spans="1:9">
      <c r="A49" s="94"/>
      <c r="B49" s="94" t="s">
        <v>91</v>
      </c>
      <c r="C49" s="95">
        <f t="shared" si="4"/>
        <v>0</v>
      </c>
      <c r="D49" s="95">
        <f t="shared" si="7"/>
        <v>0</v>
      </c>
      <c r="E49" s="95">
        <f t="shared" si="6"/>
        <v>0</v>
      </c>
      <c r="F49" s="95">
        <f t="shared" si="5"/>
        <v>0</v>
      </c>
      <c r="G49" s="95">
        <f t="shared" si="3"/>
        <v>0</v>
      </c>
    </row>
    <row r="50" spans="1:9">
      <c r="A50" s="94"/>
      <c r="B50" s="94" t="s">
        <v>92</v>
      </c>
      <c r="C50" s="95">
        <f t="shared" si="4"/>
        <v>0</v>
      </c>
      <c r="D50" s="95">
        <f t="shared" si="7"/>
        <v>0</v>
      </c>
      <c r="E50" s="95">
        <f t="shared" si="6"/>
        <v>0</v>
      </c>
      <c r="F50" s="95">
        <f t="shared" si="5"/>
        <v>0</v>
      </c>
      <c r="G50" s="95">
        <f t="shared" si="3"/>
        <v>0</v>
      </c>
    </row>
    <row r="51" spans="1:9">
      <c r="A51" s="94"/>
      <c r="B51" s="94" t="s">
        <v>93</v>
      </c>
      <c r="C51" s="95">
        <f t="shared" si="4"/>
        <v>0</v>
      </c>
      <c r="D51" s="95">
        <f t="shared" si="7"/>
        <v>0</v>
      </c>
      <c r="E51" s="95">
        <f t="shared" si="6"/>
        <v>0</v>
      </c>
      <c r="F51" s="95">
        <f t="shared" si="5"/>
        <v>0</v>
      </c>
      <c r="G51" s="95">
        <f t="shared" si="3"/>
        <v>0</v>
      </c>
    </row>
    <row r="52" spans="1:9">
      <c r="A52" s="94"/>
      <c r="B52" s="94" t="s">
        <v>94</v>
      </c>
      <c r="C52" s="95">
        <f t="shared" si="4"/>
        <v>0</v>
      </c>
      <c r="D52" s="95">
        <f t="shared" si="7"/>
        <v>0</v>
      </c>
      <c r="E52" s="95">
        <f t="shared" si="6"/>
        <v>0</v>
      </c>
      <c r="F52" s="95">
        <f t="shared" si="5"/>
        <v>0</v>
      </c>
      <c r="G52" s="95">
        <f t="shared" si="3"/>
        <v>0</v>
      </c>
    </row>
    <row r="53" spans="1:9">
      <c r="A53" s="94"/>
      <c r="B53" s="94" t="s">
        <v>95</v>
      </c>
      <c r="C53" s="95">
        <f t="shared" si="4"/>
        <v>0</v>
      </c>
      <c r="D53" s="95">
        <f t="shared" si="7"/>
        <v>0</v>
      </c>
      <c r="E53" s="95">
        <f t="shared" si="6"/>
        <v>0</v>
      </c>
      <c r="F53" s="95">
        <f t="shared" si="5"/>
        <v>0</v>
      </c>
      <c r="G53" s="95">
        <f t="shared" si="3"/>
        <v>0</v>
      </c>
    </row>
    <row r="54" spans="1:9">
      <c r="A54" s="94"/>
      <c r="B54" s="94" t="s">
        <v>96</v>
      </c>
      <c r="C54" s="95">
        <f t="shared" si="4"/>
        <v>0</v>
      </c>
      <c r="D54" s="95">
        <f t="shared" si="7"/>
        <v>0</v>
      </c>
      <c r="E54" s="95">
        <f t="shared" si="6"/>
        <v>0</v>
      </c>
      <c r="F54" s="95">
        <f t="shared" si="5"/>
        <v>0</v>
      </c>
      <c r="G54" s="95">
        <f t="shared" si="3"/>
        <v>0</v>
      </c>
    </row>
    <row r="55" spans="1:9">
      <c r="A55" s="94"/>
      <c r="B55" s="94" t="s">
        <v>97</v>
      </c>
      <c r="C55" s="95">
        <f t="shared" si="4"/>
        <v>0</v>
      </c>
      <c r="D55" s="95">
        <f t="shared" si="7"/>
        <v>0</v>
      </c>
      <c r="E55" s="95">
        <f t="shared" si="6"/>
        <v>0</v>
      </c>
      <c r="F55" s="95">
        <f t="shared" si="5"/>
        <v>0</v>
      </c>
      <c r="G55" s="95">
        <f t="shared" si="3"/>
        <v>0</v>
      </c>
    </row>
    <row r="56" spans="1:9">
      <c r="A56" s="94"/>
      <c r="B56" s="94" t="s">
        <v>98</v>
      </c>
      <c r="C56" s="95">
        <f t="shared" si="4"/>
        <v>0</v>
      </c>
      <c r="D56" s="95">
        <f t="shared" si="7"/>
        <v>0</v>
      </c>
      <c r="E56" s="95">
        <f t="shared" si="6"/>
        <v>0</v>
      </c>
      <c r="F56" s="95">
        <f t="shared" si="5"/>
        <v>0</v>
      </c>
      <c r="G56" s="95">
        <f t="shared" si="3"/>
        <v>0</v>
      </c>
    </row>
    <row r="57" spans="1:9">
      <c r="A57" s="94"/>
      <c r="B57" s="94" t="s">
        <v>99</v>
      </c>
      <c r="C57" s="95">
        <f t="shared" si="4"/>
        <v>0</v>
      </c>
      <c r="D57" s="95">
        <f t="shared" si="7"/>
        <v>0</v>
      </c>
      <c r="E57" s="95">
        <f t="shared" si="6"/>
        <v>0</v>
      </c>
      <c r="F57" s="95">
        <f t="shared" si="5"/>
        <v>0</v>
      </c>
      <c r="G57" s="95">
        <f t="shared" si="3"/>
        <v>0</v>
      </c>
      <c r="H57" s="1"/>
      <c r="I57" s="1"/>
    </row>
    <row r="58" spans="1:9">
      <c r="A58" s="94" t="s">
        <v>15</v>
      </c>
      <c r="B58" s="94" t="s">
        <v>100</v>
      </c>
      <c r="C58" s="95">
        <f t="shared" si="4"/>
        <v>0</v>
      </c>
      <c r="D58" s="95">
        <f t="shared" si="7"/>
        <v>0</v>
      </c>
      <c r="E58" s="95">
        <f t="shared" si="6"/>
        <v>0</v>
      </c>
      <c r="F58" s="95">
        <f t="shared" si="5"/>
        <v>0</v>
      </c>
      <c r="G58" s="95">
        <f t="shared" si="3"/>
        <v>0</v>
      </c>
    </row>
    <row r="59" spans="1:9">
      <c r="A59" s="94"/>
      <c r="B59" s="94" t="s">
        <v>101</v>
      </c>
      <c r="C59" s="95">
        <f t="shared" si="4"/>
        <v>0</v>
      </c>
      <c r="D59" s="95">
        <f t="shared" si="7"/>
        <v>0</v>
      </c>
      <c r="E59" s="95">
        <f t="shared" si="6"/>
        <v>0</v>
      </c>
      <c r="F59" s="95">
        <f t="shared" si="5"/>
        <v>0</v>
      </c>
      <c r="G59" s="95">
        <f t="shared" si="3"/>
        <v>0</v>
      </c>
    </row>
    <row r="60" spans="1:9">
      <c r="A60" s="94"/>
      <c r="B60" s="94" t="s">
        <v>102</v>
      </c>
      <c r="C60" s="95">
        <f t="shared" si="4"/>
        <v>0</v>
      </c>
      <c r="D60" s="95">
        <f t="shared" si="7"/>
        <v>0</v>
      </c>
      <c r="E60" s="95">
        <f t="shared" si="6"/>
        <v>0</v>
      </c>
      <c r="F60" s="95">
        <f t="shared" si="5"/>
        <v>0</v>
      </c>
      <c r="G60" s="95">
        <f t="shared" si="3"/>
        <v>0</v>
      </c>
    </row>
    <row r="61" spans="1:9">
      <c r="A61" s="94"/>
      <c r="B61" s="94" t="s">
        <v>103</v>
      </c>
      <c r="C61" s="95">
        <f t="shared" si="4"/>
        <v>0</v>
      </c>
      <c r="D61" s="95">
        <f t="shared" si="7"/>
        <v>0</v>
      </c>
      <c r="E61" s="95">
        <f t="shared" si="6"/>
        <v>0</v>
      </c>
      <c r="F61" s="95">
        <f t="shared" si="5"/>
        <v>0</v>
      </c>
      <c r="G61" s="95">
        <f t="shared" si="3"/>
        <v>0</v>
      </c>
    </row>
    <row r="62" spans="1:9">
      <c r="A62" s="94"/>
      <c r="B62" s="94" t="s">
        <v>104</v>
      </c>
      <c r="C62" s="95">
        <f t="shared" si="4"/>
        <v>0</v>
      </c>
      <c r="D62" s="95">
        <f t="shared" si="7"/>
        <v>0</v>
      </c>
      <c r="E62" s="95">
        <f t="shared" si="6"/>
        <v>0</v>
      </c>
      <c r="F62" s="95">
        <f t="shared" si="5"/>
        <v>0</v>
      </c>
      <c r="G62" s="95">
        <f t="shared" si="3"/>
        <v>0</v>
      </c>
    </row>
    <row r="63" spans="1:9">
      <c r="A63" s="94"/>
      <c r="B63" s="94" t="s">
        <v>105</v>
      </c>
      <c r="C63" s="95">
        <f t="shared" si="4"/>
        <v>0</v>
      </c>
      <c r="D63" s="95">
        <f t="shared" si="7"/>
        <v>0</v>
      </c>
      <c r="E63" s="95">
        <f t="shared" si="6"/>
        <v>0</v>
      </c>
      <c r="F63" s="95">
        <f t="shared" si="5"/>
        <v>0</v>
      </c>
      <c r="G63" s="95">
        <f t="shared" si="3"/>
        <v>0</v>
      </c>
    </row>
    <row r="64" spans="1:9">
      <c r="A64" s="94"/>
      <c r="B64" s="94" t="s">
        <v>106</v>
      </c>
      <c r="C64" s="95">
        <f t="shared" si="4"/>
        <v>0</v>
      </c>
      <c r="D64" s="95">
        <f t="shared" si="7"/>
        <v>0</v>
      </c>
      <c r="E64" s="95">
        <f t="shared" si="6"/>
        <v>0</v>
      </c>
      <c r="F64" s="95">
        <f t="shared" si="5"/>
        <v>0</v>
      </c>
      <c r="G64" s="95">
        <f t="shared" si="3"/>
        <v>0</v>
      </c>
    </row>
    <row r="65" spans="1:9">
      <c r="A65" s="94"/>
      <c r="B65" s="94" t="s">
        <v>107</v>
      </c>
      <c r="C65" s="95">
        <f t="shared" si="4"/>
        <v>0</v>
      </c>
      <c r="D65" s="95">
        <f t="shared" si="7"/>
        <v>0</v>
      </c>
      <c r="E65" s="95">
        <f t="shared" si="6"/>
        <v>0</v>
      </c>
      <c r="F65" s="95">
        <f t="shared" si="5"/>
        <v>0</v>
      </c>
      <c r="G65" s="95">
        <f t="shared" si="3"/>
        <v>0</v>
      </c>
    </row>
    <row r="66" spans="1:9">
      <c r="A66" s="94"/>
      <c r="B66" s="94" t="s">
        <v>108</v>
      </c>
      <c r="C66" s="95">
        <f t="shared" si="4"/>
        <v>0</v>
      </c>
      <c r="D66" s="95">
        <f t="shared" si="7"/>
        <v>0</v>
      </c>
      <c r="E66" s="95">
        <f t="shared" si="6"/>
        <v>0</v>
      </c>
      <c r="F66" s="95">
        <f t="shared" si="5"/>
        <v>0</v>
      </c>
      <c r="G66" s="95">
        <f t="shared" si="3"/>
        <v>0</v>
      </c>
    </row>
    <row r="67" spans="1:9">
      <c r="A67" s="94"/>
      <c r="B67" s="94" t="s">
        <v>109</v>
      </c>
      <c r="C67" s="95">
        <f t="shared" si="4"/>
        <v>0</v>
      </c>
      <c r="D67" s="95">
        <f t="shared" si="7"/>
        <v>0</v>
      </c>
      <c r="E67" s="95">
        <f t="shared" si="6"/>
        <v>0</v>
      </c>
      <c r="F67" s="95">
        <f t="shared" si="5"/>
        <v>0</v>
      </c>
      <c r="G67" s="95">
        <f t="shared" si="3"/>
        <v>0</v>
      </c>
    </row>
    <row r="68" spans="1:9">
      <c r="A68" s="94"/>
      <c r="B68" s="94" t="s">
        <v>110</v>
      </c>
      <c r="C68" s="95">
        <f t="shared" si="4"/>
        <v>0</v>
      </c>
      <c r="D68" s="95">
        <f t="shared" si="7"/>
        <v>0</v>
      </c>
      <c r="E68" s="95">
        <f t="shared" si="6"/>
        <v>0</v>
      </c>
      <c r="F68" s="95">
        <f t="shared" si="5"/>
        <v>0</v>
      </c>
      <c r="G68" s="95">
        <f t="shared" si="3"/>
        <v>0</v>
      </c>
    </row>
    <row r="69" spans="1:9">
      <c r="A69" s="94"/>
      <c r="B69" s="94" t="s">
        <v>111</v>
      </c>
      <c r="C69" s="95">
        <f t="shared" si="4"/>
        <v>0</v>
      </c>
      <c r="D69" s="95">
        <f t="shared" si="7"/>
        <v>0</v>
      </c>
      <c r="E69" s="95">
        <f t="shared" si="6"/>
        <v>0</v>
      </c>
      <c r="F69" s="95">
        <f t="shared" si="5"/>
        <v>0</v>
      </c>
      <c r="G69" s="95">
        <f t="shared" si="3"/>
        <v>0</v>
      </c>
      <c r="H69" s="1"/>
      <c r="I69" s="1"/>
    </row>
    <row r="70" spans="1:9">
      <c r="A70" s="94" t="s">
        <v>16</v>
      </c>
      <c r="B70" s="94" t="s">
        <v>112</v>
      </c>
      <c r="C70" s="95">
        <f t="shared" si="4"/>
        <v>0</v>
      </c>
      <c r="D70" s="95">
        <f t="shared" si="7"/>
        <v>0</v>
      </c>
      <c r="E70" s="95">
        <f t="shared" si="6"/>
        <v>0</v>
      </c>
      <c r="F70" s="95">
        <f t="shared" si="5"/>
        <v>0</v>
      </c>
      <c r="G70" s="95">
        <f t="shared" si="3"/>
        <v>0</v>
      </c>
    </row>
    <row r="71" spans="1:9">
      <c r="A71" s="94"/>
      <c r="B71" s="94" t="s">
        <v>113</v>
      </c>
      <c r="C71" s="95">
        <f t="shared" si="4"/>
        <v>0</v>
      </c>
      <c r="D71" s="95">
        <f t="shared" si="7"/>
        <v>0</v>
      </c>
      <c r="E71" s="95">
        <f t="shared" si="6"/>
        <v>0</v>
      </c>
      <c r="F71" s="95">
        <f t="shared" si="5"/>
        <v>0</v>
      </c>
      <c r="G71" s="95">
        <f t="shared" si="3"/>
        <v>0</v>
      </c>
    </row>
    <row r="72" spans="1:9">
      <c r="A72" s="94"/>
      <c r="B72" s="94" t="s">
        <v>114</v>
      </c>
      <c r="C72" s="95">
        <f t="shared" si="4"/>
        <v>0</v>
      </c>
      <c r="D72" s="95">
        <f t="shared" si="7"/>
        <v>0</v>
      </c>
      <c r="E72" s="95">
        <f t="shared" si="6"/>
        <v>0</v>
      </c>
      <c r="F72" s="95">
        <f t="shared" si="5"/>
        <v>0</v>
      </c>
      <c r="G72" s="95">
        <f t="shared" si="3"/>
        <v>0</v>
      </c>
    </row>
    <row r="73" spans="1:9">
      <c r="A73" s="94"/>
      <c r="B73" s="94" t="s">
        <v>115</v>
      </c>
      <c r="C73" s="95">
        <f t="shared" si="4"/>
        <v>0</v>
      </c>
      <c r="D73" s="95">
        <f t="shared" si="7"/>
        <v>0</v>
      </c>
      <c r="E73" s="95">
        <f t="shared" si="6"/>
        <v>0</v>
      </c>
      <c r="F73" s="95">
        <f t="shared" si="5"/>
        <v>0</v>
      </c>
      <c r="G73" s="95">
        <f t="shared" si="3"/>
        <v>0</v>
      </c>
    </row>
    <row r="74" spans="1:9">
      <c r="A74" s="94"/>
      <c r="B74" s="94" t="s">
        <v>116</v>
      </c>
      <c r="C74" s="95">
        <f t="shared" si="4"/>
        <v>0</v>
      </c>
      <c r="D74" s="95">
        <f t="shared" ref="D74:D93" si="8">C74*$D$5/12</f>
        <v>0</v>
      </c>
      <c r="E74" s="95">
        <f t="shared" si="6"/>
        <v>0</v>
      </c>
      <c r="F74" s="95">
        <f t="shared" si="5"/>
        <v>0</v>
      </c>
      <c r="G74" s="95">
        <f t="shared" si="3"/>
        <v>0</v>
      </c>
    </row>
    <row r="75" spans="1:9">
      <c r="A75" s="94"/>
      <c r="B75" s="94" t="s">
        <v>117</v>
      </c>
      <c r="C75" s="95">
        <f t="shared" si="4"/>
        <v>0</v>
      </c>
      <c r="D75" s="95">
        <f t="shared" si="8"/>
        <v>0</v>
      </c>
      <c r="E75" s="95">
        <f t="shared" si="6"/>
        <v>0</v>
      </c>
      <c r="F75" s="95">
        <f t="shared" ref="F75:F93" si="9">$D$8</f>
        <v>0</v>
      </c>
      <c r="G75" s="95">
        <f t="shared" ref="G75:G93" si="10">C75-E75</f>
        <v>0</v>
      </c>
    </row>
    <row r="76" spans="1:9">
      <c r="A76" s="94"/>
      <c r="B76" s="94" t="s">
        <v>118</v>
      </c>
      <c r="C76" s="95">
        <f t="shared" ref="C76:C93" si="11">G75</f>
        <v>0</v>
      </c>
      <c r="D76" s="95">
        <f t="shared" si="8"/>
        <v>0</v>
      </c>
      <c r="E76" s="95">
        <f t="shared" si="6"/>
        <v>0</v>
      </c>
      <c r="F76" s="95">
        <f t="shared" si="9"/>
        <v>0</v>
      </c>
      <c r="G76" s="95">
        <f t="shared" si="10"/>
        <v>0</v>
      </c>
    </row>
    <row r="77" spans="1:9">
      <c r="A77" s="94"/>
      <c r="B77" s="94" t="s">
        <v>119</v>
      </c>
      <c r="C77" s="95">
        <f t="shared" si="11"/>
        <v>0</v>
      </c>
      <c r="D77" s="95">
        <f t="shared" si="8"/>
        <v>0</v>
      </c>
      <c r="E77" s="95">
        <f t="shared" si="6"/>
        <v>0</v>
      </c>
      <c r="F77" s="95">
        <f t="shared" si="9"/>
        <v>0</v>
      </c>
      <c r="G77" s="95">
        <f t="shared" si="10"/>
        <v>0</v>
      </c>
    </row>
    <row r="78" spans="1:9">
      <c r="A78" s="94"/>
      <c r="B78" s="94" t="s">
        <v>120</v>
      </c>
      <c r="C78" s="95">
        <f t="shared" si="11"/>
        <v>0</v>
      </c>
      <c r="D78" s="95">
        <f t="shared" si="8"/>
        <v>0</v>
      </c>
      <c r="E78" s="95">
        <f t="shared" si="6"/>
        <v>0</v>
      </c>
      <c r="F78" s="95">
        <f t="shared" si="9"/>
        <v>0</v>
      </c>
      <c r="G78" s="95">
        <f t="shared" si="10"/>
        <v>0</v>
      </c>
    </row>
    <row r="79" spans="1:9">
      <c r="A79" s="94"/>
      <c r="B79" s="94" t="s">
        <v>121</v>
      </c>
      <c r="C79" s="95">
        <f t="shared" si="11"/>
        <v>0</v>
      </c>
      <c r="D79" s="95">
        <f t="shared" si="8"/>
        <v>0</v>
      </c>
      <c r="E79" s="95">
        <f t="shared" si="6"/>
        <v>0</v>
      </c>
      <c r="F79" s="95">
        <f t="shared" si="9"/>
        <v>0</v>
      </c>
      <c r="G79" s="95">
        <f t="shared" si="10"/>
        <v>0</v>
      </c>
    </row>
    <row r="80" spans="1:9">
      <c r="A80" s="94"/>
      <c r="B80" s="94" t="s">
        <v>122</v>
      </c>
      <c r="C80" s="95">
        <f t="shared" si="11"/>
        <v>0</v>
      </c>
      <c r="D80" s="95">
        <f t="shared" si="8"/>
        <v>0</v>
      </c>
      <c r="E80" s="95">
        <f t="shared" si="6"/>
        <v>0</v>
      </c>
      <c r="F80" s="95">
        <f t="shared" si="9"/>
        <v>0</v>
      </c>
      <c r="G80" s="95">
        <f t="shared" si="10"/>
        <v>0</v>
      </c>
    </row>
    <row r="81" spans="1:9">
      <c r="A81" s="94"/>
      <c r="B81" s="94" t="s">
        <v>123</v>
      </c>
      <c r="C81" s="95">
        <f t="shared" si="11"/>
        <v>0</v>
      </c>
      <c r="D81" s="95">
        <f t="shared" si="8"/>
        <v>0</v>
      </c>
      <c r="E81" s="95">
        <f t="shared" ref="E81:E93" si="12">F81-D81</f>
        <v>0</v>
      </c>
      <c r="F81" s="95">
        <f t="shared" si="9"/>
        <v>0</v>
      </c>
      <c r="G81" s="95">
        <f t="shared" si="10"/>
        <v>0</v>
      </c>
      <c r="H81" s="1"/>
      <c r="I81" s="1"/>
    </row>
    <row r="82" spans="1:9">
      <c r="A82" s="94" t="s">
        <v>279</v>
      </c>
      <c r="B82" s="94" t="s">
        <v>214</v>
      </c>
      <c r="C82" s="95">
        <f t="shared" si="11"/>
        <v>0</v>
      </c>
      <c r="D82" s="95">
        <f t="shared" si="8"/>
        <v>0</v>
      </c>
      <c r="E82" s="95">
        <f t="shared" si="12"/>
        <v>0</v>
      </c>
      <c r="F82" s="95">
        <f t="shared" si="9"/>
        <v>0</v>
      </c>
      <c r="G82" s="95">
        <f t="shared" si="10"/>
        <v>0</v>
      </c>
    </row>
    <row r="83" spans="1:9">
      <c r="A83" s="94"/>
      <c r="B83" s="94" t="s">
        <v>215</v>
      </c>
      <c r="C83" s="95">
        <f t="shared" si="11"/>
        <v>0</v>
      </c>
      <c r="D83" s="95">
        <f t="shared" si="8"/>
        <v>0</v>
      </c>
      <c r="E83" s="95">
        <f t="shared" si="12"/>
        <v>0</v>
      </c>
      <c r="F83" s="95">
        <f t="shared" si="9"/>
        <v>0</v>
      </c>
      <c r="G83" s="95">
        <f t="shared" si="10"/>
        <v>0</v>
      </c>
    </row>
    <row r="84" spans="1:9">
      <c r="A84" s="94"/>
      <c r="B84" s="94" t="s">
        <v>216</v>
      </c>
      <c r="C84" s="95">
        <f t="shared" si="11"/>
        <v>0</v>
      </c>
      <c r="D84" s="95">
        <f t="shared" si="8"/>
        <v>0</v>
      </c>
      <c r="E84" s="95">
        <f t="shared" si="12"/>
        <v>0</v>
      </c>
      <c r="F84" s="95">
        <f t="shared" si="9"/>
        <v>0</v>
      </c>
      <c r="G84" s="95">
        <f t="shared" si="10"/>
        <v>0</v>
      </c>
    </row>
    <row r="85" spans="1:9">
      <c r="A85" s="94"/>
      <c r="B85" s="94" t="s">
        <v>217</v>
      </c>
      <c r="C85" s="95">
        <f t="shared" si="11"/>
        <v>0</v>
      </c>
      <c r="D85" s="95">
        <f t="shared" si="8"/>
        <v>0</v>
      </c>
      <c r="E85" s="95">
        <f t="shared" si="12"/>
        <v>0</v>
      </c>
      <c r="F85" s="95">
        <f t="shared" si="9"/>
        <v>0</v>
      </c>
      <c r="G85" s="95">
        <f t="shared" si="10"/>
        <v>0</v>
      </c>
    </row>
    <row r="86" spans="1:9">
      <c r="A86" s="94"/>
      <c r="B86" s="94" t="s">
        <v>218</v>
      </c>
      <c r="C86" s="95">
        <f t="shared" si="11"/>
        <v>0</v>
      </c>
      <c r="D86" s="95">
        <f t="shared" si="8"/>
        <v>0</v>
      </c>
      <c r="E86" s="95">
        <f t="shared" si="12"/>
        <v>0</v>
      </c>
      <c r="F86" s="95">
        <f t="shared" si="9"/>
        <v>0</v>
      </c>
      <c r="G86" s="95">
        <f t="shared" si="10"/>
        <v>0</v>
      </c>
    </row>
    <row r="87" spans="1:9">
      <c r="A87" s="94"/>
      <c r="B87" s="94" t="s">
        <v>219</v>
      </c>
      <c r="C87" s="95">
        <f t="shared" si="11"/>
        <v>0</v>
      </c>
      <c r="D87" s="95">
        <f t="shared" si="8"/>
        <v>0</v>
      </c>
      <c r="E87" s="95">
        <f t="shared" si="12"/>
        <v>0</v>
      </c>
      <c r="F87" s="95">
        <f t="shared" si="9"/>
        <v>0</v>
      </c>
      <c r="G87" s="95">
        <f t="shared" si="10"/>
        <v>0</v>
      </c>
    </row>
    <row r="88" spans="1:9">
      <c r="A88" s="94"/>
      <c r="B88" s="94" t="s">
        <v>220</v>
      </c>
      <c r="C88" s="95">
        <f t="shared" si="11"/>
        <v>0</v>
      </c>
      <c r="D88" s="95">
        <f t="shared" si="8"/>
        <v>0</v>
      </c>
      <c r="E88" s="95">
        <f t="shared" si="12"/>
        <v>0</v>
      </c>
      <c r="F88" s="95">
        <f t="shared" si="9"/>
        <v>0</v>
      </c>
      <c r="G88" s="95">
        <f t="shared" si="10"/>
        <v>0</v>
      </c>
    </row>
    <row r="89" spans="1:9">
      <c r="A89" s="94"/>
      <c r="B89" s="94" t="s">
        <v>221</v>
      </c>
      <c r="C89" s="95">
        <f t="shared" si="11"/>
        <v>0</v>
      </c>
      <c r="D89" s="95">
        <f t="shared" si="8"/>
        <v>0</v>
      </c>
      <c r="E89" s="95">
        <f t="shared" si="12"/>
        <v>0</v>
      </c>
      <c r="F89" s="95">
        <f t="shared" si="9"/>
        <v>0</v>
      </c>
      <c r="G89" s="95">
        <f t="shared" si="10"/>
        <v>0</v>
      </c>
    </row>
    <row r="90" spans="1:9">
      <c r="A90" s="94"/>
      <c r="B90" s="94" t="s">
        <v>222</v>
      </c>
      <c r="C90" s="95">
        <f t="shared" si="11"/>
        <v>0</v>
      </c>
      <c r="D90" s="95">
        <f t="shared" si="8"/>
        <v>0</v>
      </c>
      <c r="E90" s="95">
        <f t="shared" si="12"/>
        <v>0</v>
      </c>
      <c r="F90" s="95">
        <f t="shared" si="9"/>
        <v>0</v>
      </c>
      <c r="G90" s="95">
        <f t="shared" si="10"/>
        <v>0</v>
      </c>
    </row>
    <row r="91" spans="1:9">
      <c r="A91" s="94"/>
      <c r="B91" s="94" t="s">
        <v>223</v>
      </c>
      <c r="C91" s="95">
        <f t="shared" si="11"/>
        <v>0</v>
      </c>
      <c r="D91" s="95">
        <f t="shared" si="8"/>
        <v>0</v>
      </c>
      <c r="E91" s="95">
        <f t="shared" si="12"/>
        <v>0</v>
      </c>
      <c r="F91" s="95">
        <f t="shared" si="9"/>
        <v>0</v>
      </c>
      <c r="G91" s="95">
        <f t="shared" si="10"/>
        <v>0</v>
      </c>
    </row>
    <row r="92" spans="1:9">
      <c r="A92" s="94"/>
      <c r="B92" s="94" t="s">
        <v>224</v>
      </c>
      <c r="C92" s="95">
        <f t="shared" si="11"/>
        <v>0</v>
      </c>
      <c r="D92" s="95">
        <f t="shared" si="8"/>
        <v>0</v>
      </c>
      <c r="E92" s="95">
        <f t="shared" si="12"/>
        <v>0</v>
      </c>
      <c r="F92" s="95">
        <f t="shared" si="9"/>
        <v>0</v>
      </c>
      <c r="G92" s="95">
        <f t="shared" si="10"/>
        <v>0</v>
      </c>
    </row>
    <row r="93" spans="1:9">
      <c r="A93" s="94"/>
      <c r="B93" s="94" t="s">
        <v>225</v>
      </c>
      <c r="C93" s="95">
        <f t="shared" si="11"/>
        <v>0</v>
      </c>
      <c r="D93" s="95">
        <f t="shared" si="8"/>
        <v>0</v>
      </c>
      <c r="E93" s="95">
        <f t="shared" si="12"/>
        <v>0</v>
      </c>
      <c r="F93" s="95">
        <f t="shared" si="9"/>
        <v>0</v>
      </c>
      <c r="G93" s="95">
        <f t="shared" si="10"/>
        <v>0</v>
      </c>
    </row>
    <row r="94" spans="1:9">
      <c r="A94" s="93"/>
      <c r="B94" s="93"/>
      <c r="C94" s="93"/>
      <c r="D94" s="102">
        <f>SUM(D10:D93)</f>
        <v>0</v>
      </c>
      <c r="E94" s="102">
        <f>SUM(E10:E93)</f>
        <v>0</v>
      </c>
      <c r="F94" s="93"/>
      <c r="G94" s="93"/>
    </row>
    <row r="95" spans="1:9" ht="39.950000000000003" customHeight="1">
      <c r="A95" s="433" t="s">
        <v>418</v>
      </c>
      <c r="B95" s="433"/>
      <c r="C95" s="433"/>
      <c r="D95" s="433"/>
      <c r="E95" s="433"/>
      <c r="F95" s="433"/>
      <c r="G95" s="433"/>
      <c r="H95" s="433"/>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dimension ref="A2:V58"/>
  <sheetViews>
    <sheetView view="pageBreakPreview" topLeftCell="A19" zoomScale="80" zoomScaleSheetLayoutView="80" workbookViewId="0">
      <selection activeCell="D52" sqref="D52"/>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2" t="s">
        <v>552</v>
      </c>
      <c r="D2" s="412"/>
      <c r="E2" s="412"/>
      <c r="F2" s="412"/>
      <c r="G2" s="412"/>
      <c r="H2" s="412"/>
      <c r="I2" s="412"/>
      <c r="J2" s="412"/>
      <c r="K2" s="412"/>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44" t="s">
        <v>532</v>
      </c>
      <c r="O4" s="444"/>
      <c r="P4" s="444"/>
      <c r="Q4" s="444"/>
      <c r="R4" s="444"/>
      <c r="S4" s="241"/>
      <c r="T4" s="241"/>
      <c r="U4" s="444" t="s">
        <v>533</v>
      </c>
      <c r="V4" s="444"/>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43" t="s">
        <v>534</v>
      </c>
      <c r="O5" s="443"/>
      <c r="P5" s="443"/>
      <c r="Q5" s="443"/>
      <c r="R5" s="443"/>
      <c r="S5" s="241"/>
      <c r="T5" s="241"/>
      <c r="U5" s="443" t="s">
        <v>534</v>
      </c>
      <c r="V5" s="443"/>
    </row>
    <row r="6" spans="3:22">
      <c r="C6" s="94" t="s">
        <v>456</v>
      </c>
      <c r="D6" s="189"/>
      <c r="E6" s="94"/>
      <c r="F6" s="95">
        <f t="shared" si="0"/>
        <v>5817912.2260875013</v>
      </c>
      <c r="G6" s="95">
        <f t="shared" si="0"/>
        <v>7126942.4769571861</v>
      </c>
      <c r="H6" s="95">
        <f t="shared" si="0"/>
        <v>8552330.972348623</v>
      </c>
      <c r="I6" s="95">
        <f t="shared" si="0"/>
        <v>10102440.961086811</v>
      </c>
      <c r="J6" s="95">
        <f t="shared" si="0"/>
        <v>11786181.121267952</v>
      </c>
      <c r="K6" s="95">
        <f t="shared" si="0"/>
        <v>13613039.195064483</v>
      </c>
      <c r="L6" s="93"/>
      <c r="M6" s="93"/>
      <c r="N6" s="242" t="s">
        <v>0</v>
      </c>
      <c r="O6" s="242" t="s">
        <v>161</v>
      </c>
      <c r="P6" s="242" t="s">
        <v>162</v>
      </c>
      <c r="Q6" s="242" t="s">
        <v>315</v>
      </c>
      <c r="R6" s="242" t="s">
        <v>316</v>
      </c>
      <c r="S6" s="241"/>
      <c r="T6" s="241"/>
      <c r="U6" s="328" t="s">
        <v>0</v>
      </c>
      <c r="V6" s="328" t="s">
        <v>491</v>
      </c>
    </row>
    <row r="7" spans="3:22">
      <c r="C7" s="94" t="s">
        <v>692</v>
      </c>
      <c r="D7" s="189"/>
      <c r="E7" s="94"/>
      <c r="F7" s="95">
        <f t="shared" si="0"/>
        <v>24125.360325000005</v>
      </c>
      <c r="G7" s="95">
        <f t="shared" si="0"/>
        <v>37997.442511875</v>
      </c>
      <c r="H7" s="95">
        <f t="shared" si="0"/>
        <v>53196.419516625014</v>
      </c>
      <c r="I7" s="95">
        <f t="shared" si="0"/>
        <v>69820.300615570319</v>
      </c>
      <c r="J7" s="95">
        <f t="shared" si="0"/>
        <v>87973.578775618618</v>
      </c>
      <c r="K7" s="95">
        <f t="shared" si="0"/>
        <v>107767.63400013279</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5842037.5864125015</v>
      </c>
      <c r="G11" s="95">
        <f t="shared" si="5"/>
        <v>7164939.9194690613</v>
      </c>
      <c r="H11" s="95">
        <f t="shared" si="5"/>
        <v>8605527.3918652479</v>
      </c>
      <c r="I11" s="95">
        <f t="shared" si="5"/>
        <v>10172261.261702381</v>
      </c>
      <c r="J11" s="95">
        <f t="shared" si="5"/>
        <v>11874154.70004357</v>
      </c>
      <c r="K11" s="95">
        <f t="shared" si="5"/>
        <v>13720806.829064615</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5817912.2260875013</v>
      </c>
      <c r="F15" s="95">
        <f>SUM('12.Facility 1 - Trading'!E233:E284)*$D$15</f>
        <v>7126942.4769571861</v>
      </c>
      <c r="G15" s="95">
        <f>SUM('12.Facility 1 - Trading'!F233:F284)*$D$15</f>
        <v>8552330.972348623</v>
      </c>
      <c r="H15" s="95">
        <f>SUM('12.Facility 1 - Trading'!G233:G284)*$D$15</f>
        <v>10102440.961086811</v>
      </c>
      <c r="I15" s="95">
        <f>SUM('12.Facility 1 - Trading'!H233:H284)*$D$15</f>
        <v>11786181.121267952</v>
      </c>
      <c r="J15" s="95">
        <f>SUM('12.Facility 1 - Trading'!I233:I284)*$D$15</f>
        <v>13613039.195064483</v>
      </c>
      <c r="K15" s="95">
        <f>SUM('12.Facility 1 - Trading'!J233:J284)*$D$15</f>
        <v>15593117.623437501</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0.4</v>
      </c>
      <c r="E16" s="95">
        <f>SUM('13.Facility 2 Grain Processing'!D155:D163)*$D$16</f>
        <v>24125.360325000005</v>
      </c>
      <c r="F16" s="95">
        <f>SUM('13.Facility 2 Grain Processing'!E155:E163)*$D$16</f>
        <v>37997.442511875</v>
      </c>
      <c r="G16" s="95">
        <f>SUM('13.Facility 2 Grain Processing'!F155:F163)*$D$16</f>
        <v>53196.419516625014</v>
      </c>
      <c r="H16" s="95">
        <f>SUM('13.Facility 2 Grain Processing'!G155:G163)*$D$16</f>
        <v>69820.300615570319</v>
      </c>
      <c r="I16" s="95">
        <f>SUM('13.Facility 2 Grain Processing'!H155:H163)*$D$16</f>
        <v>87973.578775618618</v>
      </c>
      <c r="J16" s="95">
        <f>SUM('13.Facility 2 Grain Processing'!I155:I163)*$D$16</f>
        <v>107767.63400013279</v>
      </c>
      <c r="K16" s="95">
        <f>SUM('13.Facility 2 Grain Processing'!J155:J163)*$D$16</f>
        <v>129321.16080015936</v>
      </c>
      <c r="L16" s="93"/>
      <c r="M16" s="93"/>
    </row>
    <row r="17" spans="1:18">
      <c r="C17" s="94" t="s">
        <v>519</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5842037.5864125015</v>
      </c>
      <c r="F20" s="95">
        <f t="shared" si="7"/>
        <v>7164939.9194690613</v>
      </c>
      <c r="G20" s="95">
        <f t="shared" si="7"/>
        <v>8605527.3918652479</v>
      </c>
      <c r="H20" s="95">
        <f t="shared" si="7"/>
        <v>10172261.261702381</v>
      </c>
      <c r="I20" s="95">
        <f t="shared" si="7"/>
        <v>11874154.70004357</v>
      </c>
      <c r="J20" s="95">
        <f t="shared" si="7"/>
        <v>13720806.829064615</v>
      </c>
      <c r="K20" s="95">
        <f t="shared" si="7"/>
        <v>15722438.78423766</v>
      </c>
      <c r="L20" s="93"/>
      <c r="M20" s="93"/>
    </row>
    <row r="21" spans="1:18" ht="41.1" customHeight="1">
      <c r="A21" s="423" t="s">
        <v>419</v>
      </c>
      <c r="B21" s="423"/>
      <c r="C21" s="423"/>
      <c r="D21" s="423"/>
      <c r="E21" s="423"/>
      <c r="F21" s="423"/>
      <c r="G21" s="423"/>
      <c r="H21" s="423"/>
      <c r="I21" s="423"/>
      <c r="J21" s="423"/>
      <c r="K21" s="423"/>
      <c r="L21" s="327"/>
      <c r="M21" s="327"/>
      <c r="N21" s="327"/>
      <c r="O21" s="276"/>
      <c r="P21" s="276"/>
      <c r="Q21" s="276"/>
      <c r="R21" s="276"/>
    </row>
    <row r="22" spans="1:18">
      <c r="A22" t="s">
        <v>536</v>
      </c>
    </row>
    <row r="23" spans="1:18">
      <c r="A23">
        <v>1</v>
      </c>
      <c r="B23" t="s">
        <v>539</v>
      </c>
    </row>
    <row r="24" spans="1:18" ht="18.75">
      <c r="B24" s="412" t="s">
        <v>553</v>
      </c>
      <c r="C24" s="412"/>
      <c r="D24" s="412"/>
      <c r="E24" s="412"/>
      <c r="F24" s="412"/>
      <c r="G24" s="412"/>
      <c r="H24" s="412"/>
      <c r="I24" s="412"/>
      <c r="J24" s="412"/>
      <c r="K24" s="412"/>
    </row>
    <row r="25" spans="1:18">
      <c r="B25" s="436" t="s">
        <v>144</v>
      </c>
      <c r="C25" s="436" t="s">
        <v>0</v>
      </c>
      <c r="D25" s="439" t="s">
        <v>364</v>
      </c>
      <c r="E25" s="441" t="s">
        <v>156</v>
      </c>
      <c r="F25" s="442"/>
      <c r="G25" s="442"/>
      <c r="H25" s="442"/>
      <c r="I25" s="442"/>
      <c r="J25" s="442"/>
      <c r="K25" s="442"/>
    </row>
    <row r="26" spans="1:18">
      <c r="B26" s="436"/>
      <c r="C26" s="436"/>
      <c r="D26" s="440"/>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690</v>
      </c>
      <c r="D31" s="232">
        <v>30</v>
      </c>
      <c r="E31" s="222">
        <f>('12.Facility 1 - Trading'!D229/365)*$D$31</f>
        <v>876942.68893150683</v>
      </c>
      <c r="F31" s="222">
        <f>('12.Facility 1 - Trading'!E229/365)*$D$31</f>
        <v>1684834.5553027398</v>
      </c>
      <c r="G31" s="222">
        <f>('12.Facility 1 - Trading'!F229/365)*$D$31</f>
        <v>2037065.9603973292</v>
      </c>
      <c r="H31" s="222">
        <f>('12.Facility 1 - Trading'!G229/365)*$D$31</f>
        <v>2420308.4196131197</v>
      </c>
      <c r="I31" s="222">
        <f>('12.Facility 1 - Trading'!H229/365)*$D$31</f>
        <v>2836782.4598494964</v>
      </c>
      <c r="J31" s="222">
        <f>('12.Facility 1 - Trading'!I229/365)*$D$31</f>
        <v>3288853.1330604786</v>
      </c>
      <c r="K31" s="222">
        <f>('12.Facility 1 - Trading'!J229/365)*$D$31</f>
        <v>3779038.9174429355</v>
      </c>
    </row>
    <row r="32" spans="1:18">
      <c r="B32" s="262">
        <v>4</v>
      </c>
      <c r="C32" s="223" t="s">
        <v>691</v>
      </c>
      <c r="D32" s="232">
        <v>30</v>
      </c>
      <c r="E32" s="222">
        <f>('13.Facility 2 Grain Processing'!D151/365)*$D$32</f>
        <v>42446.957375342456</v>
      </c>
      <c r="F32" s="222">
        <f>('13.Facility 2 Grain Processing'!E151/365)*$D$32</f>
        <v>68780.613302876722</v>
      </c>
      <c r="G32" s="222">
        <f>('13.Facility 2 Grain Processing'!F151/365)*$D$32</f>
        <v>96630.023325452043</v>
      </c>
      <c r="H32" s="222">
        <f>('13.Facility 2 Grain Processing'!G151/365)*$D$32</f>
        <v>127092.42281702775</v>
      </c>
      <c r="I32" s="222">
        <f>('13.Facility 2 Grain Processing'!H151/365)*$D$32</f>
        <v>160359.48719944741</v>
      </c>
      <c r="J32" s="222">
        <f>('13.Facility 2 Grain Processing'!I151/365)*$D$32</f>
        <v>196635.5269630664</v>
      </c>
      <c r="K32" s="222">
        <f>('13.Facility 2 Grain Processing'!J151/365)*$D$32</f>
        <v>236138.27198504872</v>
      </c>
    </row>
    <row r="33" spans="2:11">
      <c r="B33" s="262">
        <v>5</v>
      </c>
      <c r="C33" s="223" t="s">
        <v>300</v>
      </c>
      <c r="D33" s="232">
        <v>30</v>
      </c>
      <c r="E33" s="222">
        <f>('14. Facility 3 Warehouse'!D23/365)*$D$33</f>
        <v>31561.643835616444</v>
      </c>
      <c r="F33" s="222">
        <f>('14. Facility 3 Warehouse'!E23/365)*$D$33</f>
        <v>35210.958904109597</v>
      </c>
      <c r="G33" s="222">
        <f>('14. Facility 3 Warehouse'!F23/365)*$D$33</f>
        <v>39146.301369863024</v>
      </c>
      <c r="H33" s="222">
        <f>('14. Facility 3 Warehouse'!G23/365)*$D$33</f>
        <v>43387.150684931526</v>
      </c>
      <c r="I33" s="222">
        <f>('14. Facility 3 Warehouse'!H23/365)*$D$33</f>
        <v>47954.219178082225</v>
      </c>
      <c r="J33" s="222">
        <f>('14. Facility 3 Warehouse'!I23/365)*$D$33</f>
        <v>50351.930136986331</v>
      </c>
      <c r="K33" s="222">
        <f>('14. Facility 3 Warehouse'!J23/365)*$D$33</f>
        <v>52869.526643835656</v>
      </c>
    </row>
    <row r="34" spans="2:11" ht="30">
      <c r="B34" s="262">
        <v>6</v>
      </c>
      <c r="C34" s="223" t="s">
        <v>531</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950951.29014246573</v>
      </c>
      <c r="F36" s="222">
        <f t="shared" ref="F36:K36" si="8">SUM(F29:F35)</f>
        <v>1788826.1275097262</v>
      </c>
      <c r="G36" s="222">
        <f t="shared" si="8"/>
        <v>2172842.2850926444</v>
      </c>
      <c r="H36" s="222">
        <f t="shared" si="8"/>
        <v>2590787.9931150787</v>
      </c>
      <c r="I36" s="222">
        <f t="shared" si="8"/>
        <v>3045096.1662270264</v>
      </c>
      <c r="J36" s="222">
        <f t="shared" si="8"/>
        <v>3535840.5901605315</v>
      </c>
      <c r="K36" s="222">
        <f t="shared" si="8"/>
        <v>4068046.7160718199</v>
      </c>
    </row>
    <row r="37" spans="2:11">
      <c r="B37" s="220" t="s">
        <v>172</v>
      </c>
      <c r="C37" s="221" t="s">
        <v>345</v>
      </c>
      <c r="D37" s="232"/>
      <c r="E37" s="222">
        <f>'5.Closing Stock &amp; W Capital'!E20</f>
        <v>5842037.5864125015</v>
      </c>
      <c r="F37" s="222">
        <f>'5.Closing Stock &amp; W Capital'!F20</f>
        <v>7164939.9194690613</v>
      </c>
      <c r="G37" s="222">
        <f>'5.Closing Stock &amp; W Capital'!G20</f>
        <v>8605527.3918652479</v>
      </c>
      <c r="H37" s="222">
        <f>'5.Closing Stock &amp; W Capital'!H20</f>
        <v>10172261.261702381</v>
      </c>
      <c r="I37" s="222">
        <f>'5.Closing Stock &amp; W Capital'!I20</f>
        <v>11874154.70004357</v>
      </c>
      <c r="J37" s="222">
        <f>'5.Closing Stock &amp; W Capital'!J20</f>
        <v>13720806.829064615</v>
      </c>
      <c r="K37" s="222">
        <f>'5.Closing Stock &amp; W Capital'!K20</f>
        <v>15722438.78423766</v>
      </c>
    </row>
    <row r="38" spans="2:11">
      <c r="B38" s="220"/>
      <c r="C38" s="223"/>
      <c r="D38" s="232"/>
      <c r="E38" s="222"/>
      <c r="F38" s="222"/>
      <c r="G38" s="222"/>
      <c r="H38" s="222"/>
      <c r="I38" s="222"/>
      <c r="J38" s="222"/>
      <c r="K38" s="222"/>
    </row>
    <row r="39" spans="2:11">
      <c r="B39" s="437" t="s">
        <v>1</v>
      </c>
      <c r="C39" s="438"/>
      <c r="D39" s="238"/>
      <c r="E39" s="224">
        <f>SUM(E36:E37)</f>
        <v>6792988.8765549669</v>
      </c>
      <c r="F39" s="224">
        <f t="shared" ref="F39:K39" si="9">SUM(F36:F37)</f>
        <v>8953766.0469787866</v>
      </c>
      <c r="G39" s="224">
        <f t="shared" si="9"/>
        <v>10778369.676957892</v>
      </c>
      <c r="H39" s="224">
        <f t="shared" si="9"/>
        <v>12763049.25481746</v>
      </c>
      <c r="I39" s="224">
        <f t="shared" si="9"/>
        <v>14919250.866270596</v>
      </c>
      <c r="J39" s="224">
        <f t="shared" si="9"/>
        <v>17256647.419225145</v>
      </c>
      <c r="K39" s="224">
        <f t="shared" si="9"/>
        <v>19790485.500309482</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30</v>
      </c>
      <c r="E44" s="222">
        <f>('12.Facility 1 - Trading'!D292/365)*$D$44</f>
        <v>725458.40846969187</v>
      </c>
      <c r="F44" s="222">
        <f>('12.Facility 1 - Trading'!E292/365)*$D$44</f>
        <v>1366871.1169031118</v>
      </c>
      <c r="G44" s="222">
        <f>('12.Facility 1 - Trading'!F292/365)*$D$44</f>
        <v>1652199.9544469276</v>
      </c>
      <c r="H44" s="222">
        <f>('12.Facility 1 - Trading'!G292/365)*$D$44</f>
        <v>1962644.4979528673</v>
      </c>
      <c r="I44" s="222">
        <f>('12.Facility 1 - Trading'!H292/365)*$D$44</f>
        <v>2300002.9959232844</v>
      </c>
      <c r="J44" s="222">
        <f>('12.Facility 1 - Trading'!I292/365)*$D$44</f>
        <v>2666190.7324458598</v>
      </c>
      <c r="K44" s="222">
        <f>('12.Facility 1 - Trading'!J292/365)*$D$44</f>
        <v>3063247.2351308861</v>
      </c>
    </row>
    <row r="45" spans="2:11">
      <c r="B45" s="262">
        <v>4</v>
      </c>
      <c r="C45" s="223" t="str">
        <f t="shared" si="10"/>
        <v>Cleaning, Grading &amp; Sorting</v>
      </c>
      <c r="D45" s="232">
        <v>30</v>
      </c>
      <c r="E45" s="222">
        <f>('13.Facility 2 Grain Processing'!D172/365)*$D$45</f>
        <v>4240.0839852739737</v>
      </c>
      <c r="F45" s="222">
        <f>('13.Facility 2 Grain Processing'!E172/365)*$D$45</f>
        <v>8661.0386048886994</v>
      </c>
      <c r="G45" s="222">
        <f>('13.Facility 2 Grain Processing'!F172/365)*$D$45</f>
        <v>12472.462654258565</v>
      </c>
      <c r="H45" s="222">
        <f>('13.Facility 2 Grain Processing'!G172/365)*$D$45</f>
        <v>16643.37651205319</v>
      </c>
      <c r="I45" s="222">
        <f>('13.Facility 2 Grain Processing'!H172/365)*$D$45</f>
        <v>21200.200598991636</v>
      </c>
      <c r="J45" s="222">
        <f>('13.Facility 2 Grain Processing'!I172/365)*$D$45</f>
        <v>26171.09865334379</v>
      </c>
      <c r="K45" s="222">
        <f>('13.Facility 2 Grain Processing'!J172/365)*$D$45</f>
        <v>31586.086011633688</v>
      </c>
    </row>
    <row r="46" spans="2:11">
      <c r="B46" s="262">
        <v>5</v>
      </c>
      <c r="C46" s="223" t="str">
        <f t="shared" si="10"/>
        <v>Warehouse</v>
      </c>
      <c r="D46" s="232">
        <v>30</v>
      </c>
      <c r="E46" s="222">
        <f>('14. Facility 3 Warehouse'!D34/365)*$D$46</f>
        <v>2104.1095890410957</v>
      </c>
      <c r="F46" s="222">
        <f>('14. Facility 3 Warehouse'!E34/365)*$D$46</f>
        <v>2209.3150684931506</v>
      </c>
      <c r="G46" s="222">
        <f>('14. Facility 3 Warehouse'!F34/365)*$D$46</f>
        <v>2319.7808219178082</v>
      </c>
      <c r="H46" s="222">
        <f>('14. Facility 3 Warehouse'!G34/365)*$D$46</f>
        <v>2435.7698630136993</v>
      </c>
      <c r="I46" s="222">
        <f>('14. Facility 3 Warehouse'!H34/365)*$D$46</f>
        <v>2557.5583561643839</v>
      </c>
      <c r="J46" s="222">
        <f>('14. Facility 3 Warehouse'!I34/365)*$D$46</f>
        <v>2685.4362739726034</v>
      </c>
      <c r="K46" s="222">
        <f>('14. Facility 3 Warehouse'!J34/365)*$D$46</f>
        <v>2819.7080876712334</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731802.60204400693</v>
      </c>
      <c r="F49" s="224">
        <f t="shared" ref="F49:K49" si="11">SUM(F42:F48)</f>
        <v>1377741.4705764935</v>
      </c>
      <c r="G49" s="224">
        <f t="shared" si="11"/>
        <v>1666992.197923104</v>
      </c>
      <c r="H49" s="224">
        <f t="shared" si="11"/>
        <v>1981723.6443279341</v>
      </c>
      <c r="I49" s="224">
        <f t="shared" si="11"/>
        <v>2323760.7548784404</v>
      </c>
      <c r="J49" s="224">
        <f t="shared" si="11"/>
        <v>2695047.2673731763</v>
      </c>
      <c r="K49" s="224">
        <f t="shared" si="11"/>
        <v>3097653.0292301909</v>
      </c>
    </row>
    <row r="50" spans="1:12">
      <c r="B50" s="220" t="s">
        <v>174</v>
      </c>
      <c r="C50" s="221" t="s">
        <v>154</v>
      </c>
      <c r="D50" s="232"/>
      <c r="E50" s="224">
        <f>E39-E49</f>
        <v>6061186.2745109601</v>
      </c>
      <c r="F50" s="224">
        <f t="shared" ref="F50:K50" si="12">F39-F49</f>
        <v>7576024.5764022935</v>
      </c>
      <c r="G50" s="224">
        <f t="shared" si="12"/>
        <v>9111377.4790347889</v>
      </c>
      <c r="H50" s="224">
        <f t="shared" si="12"/>
        <v>10781325.610489525</v>
      </c>
      <c r="I50" s="224">
        <f t="shared" si="12"/>
        <v>12595490.111392155</v>
      </c>
      <c r="J50" s="224">
        <f t="shared" si="12"/>
        <v>14561600.151851969</v>
      </c>
      <c r="K50" s="224">
        <f t="shared" si="12"/>
        <v>16692832.471079292</v>
      </c>
    </row>
    <row r="51" spans="1:12">
      <c r="B51" s="220"/>
      <c r="C51" s="221" t="s">
        <v>134</v>
      </c>
      <c r="D51" s="271">
        <v>0.45</v>
      </c>
      <c r="E51" s="224">
        <f>E50*$D$51</f>
        <v>2727533.8235299322</v>
      </c>
      <c r="F51" s="224"/>
      <c r="G51" s="224"/>
      <c r="H51" s="224"/>
      <c r="I51" s="224"/>
      <c r="J51" s="224"/>
      <c r="K51" s="224"/>
    </row>
    <row r="53" spans="1:12">
      <c r="E53" s="29"/>
    </row>
    <row r="54" spans="1:12" ht="36.950000000000003" customHeight="1">
      <c r="A54" s="434" t="s">
        <v>414</v>
      </c>
      <c r="B54" s="435"/>
      <c r="C54" s="435"/>
      <c r="D54" s="435"/>
      <c r="E54" s="435"/>
      <c r="F54" s="435"/>
      <c r="G54" s="435"/>
      <c r="H54" s="435"/>
      <c r="I54" s="435"/>
      <c r="J54" s="435"/>
      <c r="K54" s="435"/>
      <c r="L54" s="435"/>
    </row>
    <row r="55" spans="1:12">
      <c r="A55" t="s">
        <v>540</v>
      </c>
    </row>
    <row r="56" spans="1:12">
      <c r="A56">
        <v>1</v>
      </c>
      <c r="B56" t="s">
        <v>693</v>
      </c>
    </row>
    <row r="57" spans="1:12">
      <c r="A57">
        <v>2</v>
      </c>
      <c r="B57" t="s">
        <v>694</v>
      </c>
    </row>
    <row r="58" spans="1:12">
      <c r="A58">
        <v>3</v>
      </c>
      <c r="B58" t="s">
        <v>541</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dimension ref="A2:J53"/>
  <sheetViews>
    <sheetView view="pageBreakPreview" zoomScale="80" zoomScaleSheetLayoutView="80" workbookViewId="0"/>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5" t="s">
        <v>708</v>
      </c>
      <c r="B2" s="415"/>
      <c r="C2" s="415"/>
      <c r="D2" s="415"/>
      <c r="E2" s="415"/>
      <c r="F2" s="415"/>
      <c r="G2" s="415"/>
      <c r="H2" s="415"/>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695</v>
      </c>
      <c r="B6" s="95">
        <f>'12.Facility 1 - Trading'!D229</f>
        <v>10669469.381999999</v>
      </c>
      <c r="C6" s="95">
        <f>'12.Facility 1 - Trading'!E229</f>
        <v>20498820.422850002</v>
      </c>
      <c r="D6" s="95">
        <f>'12.Facility 1 - Trading'!F229</f>
        <v>24784302.518167503</v>
      </c>
      <c r="E6" s="95">
        <f>'12.Facility 1 - Trading'!G229</f>
        <v>29447085.771959621</v>
      </c>
      <c r="F6" s="95">
        <f>'12.Facility 1 - Trading'!H229</f>
        <v>34514186.594835542</v>
      </c>
      <c r="G6" s="95">
        <f>'12.Facility 1 - Trading'!I229</f>
        <v>40014379.785569154</v>
      </c>
      <c r="H6" s="95">
        <f>'12.Facility 1 - Trading'!J229</f>
        <v>45978306.82888905</v>
      </c>
    </row>
    <row r="7" spans="1:8">
      <c r="A7" s="94" t="s">
        <v>696</v>
      </c>
      <c r="B7" s="95">
        <f>'13.Facility 2 Grain Processing'!D151</f>
        <v>516437.98139999993</v>
      </c>
      <c r="C7" s="95">
        <f>'13.Facility 2 Grain Processing'!E151</f>
        <v>836830.79518500005</v>
      </c>
      <c r="D7" s="95">
        <f>'13.Facility 2 Grain Processing'!F151</f>
        <v>1175665.2837929998</v>
      </c>
      <c r="E7" s="95">
        <f>'13.Facility 2 Grain Processing'!G151</f>
        <v>1546291.1442738376</v>
      </c>
      <c r="F7" s="95">
        <f>'13.Facility 2 Grain Processing'!H151</f>
        <v>1951040.4275932766</v>
      </c>
      <c r="G7" s="95">
        <f>'13.Facility 2 Grain Processing'!I151</f>
        <v>2392398.9113839744</v>
      </c>
      <c r="H7" s="95">
        <f>'13.Facility 2 Grain Processing'!J151</f>
        <v>2873015.6424847594</v>
      </c>
    </row>
    <row r="8" spans="1:8">
      <c r="A8" s="94" t="s">
        <v>508</v>
      </c>
      <c r="B8" s="95">
        <f>'14. Facility 3 Warehouse'!D23</f>
        <v>384000</v>
      </c>
      <c r="C8" s="95">
        <f>'14. Facility 3 Warehouse'!E23</f>
        <v>428400.00000000012</v>
      </c>
      <c r="D8" s="95">
        <f>'14. Facility 3 Warehouse'!F23</f>
        <v>476280.00000000012</v>
      </c>
      <c r="E8" s="95">
        <f>'14. Facility 3 Warehouse'!G23</f>
        <v>527877.00000000023</v>
      </c>
      <c r="F8" s="95">
        <f>'14. Facility 3 Warehouse'!H23</f>
        <v>583443.00000000035</v>
      </c>
      <c r="G8" s="95">
        <f>'14. Facility 3 Warehouse'!I23</f>
        <v>612615.15000000037</v>
      </c>
      <c r="H8" s="95">
        <f>'14. Facility 3 Warehouse'!J23</f>
        <v>643245.90750000044</v>
      </c>
    </row>
    <row r="9" spans="1:8">
      <c r="A9" s="94" t="s">
        <v>509</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507</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530</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11569907.363399999</v>
      </c>
      <c r="C13" s="114">
        <f t="shared" ref="C13:H13" si="0">SUM(C6:C12)</f>
        <v>21764051.218035001</v>
      </c>
      <c r="D13" s="114">
        <f t="shared" si="0"/>
        <v>26436247.801960502</v>
      </c>
      <c r="E13" s="114">
        <f t="shared" si="0"/>
        <v>31521253.916233458</v>
      </c>
      <c r="F13" s="114">
        <f t="shared" si="0"/>
        <v>37048670.022428818</v>
      </c>
      <c r="G13" s="114">
        <f t="shared" si="0"/>
        <v>43019393.846953124</v>
      </c>
      <c r="H13" s="114">
        <f t="shared" si="0"/>
        <v>49494568.37887381</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8826410.6363812517</v>
      </c>
      <c r="C16" s="95">
        <f>'12.Facility 1 - Trading'!E292</f>
        <v>16630265.255654529</v>
      </c>
      <c r="D16" s="95">
        <f>'12.Facility 1 - Trading'!F292</f>
        <v>20101766.112437621</v>
      </c>
      <c r="E16" s="95">
        <f>'12.Facility 1 - Trading'!G292</f>
        <v>23878841.391759887</v>
      </c>
      <c r="F16" s="95">
        <f>'12.Facility 1 - Trading'!H292</f>
        <v>27983369.783733293</v>
      </c>
      <c r="G16" s="95">
        <f>'12.Facility 1 - Trading'!I292</f>
        <v>32438653.911424629</v>
      </c>
      <c r="H16" s="95">
        <f>'12.Facility 1 - Trading'!J292</f>
        <v>37269508.027425781</v>
      </c>
    </row>
    <row r="17" spans="1:8">
      <c r="A17" s="94" t="str">
        <f t="shared" si="1"/>
        <v>Faclitiy 2 - Processing Unit- Cleaning, Grading</v>
      </c>
      <c r="B17" s="95">
        <f>'13.Facility 2 Grain Processing'!D172</f>
        <v>51587.688487500011</v>
      </c>
      <c r="C17" s="95">
        <f>'13.Facility 2 Grain Processing'!E172</f>
        <v>105375.9696928125</v>
      </c>
      <c r="D17" s="95">
        <f>'13.Facility 2 Grain Processing'!F172</f>
        <v>151748.29562681256</v>
      </c>
      <c r="E17" s="95">
        <f>'13.Facility 2 Grain Processing'!G172</f>
        <v>202494.4142299805</v>
      </c>
      <c r="F17" s="95">
        <f>'13.Facility 2 Grain Processing'!H172</f>
        <v>257935.77395439823</v>
      </c>
      <c r="G17" s="95">
        <f>'13.Facility 2 Grain Processing'!I172</f>
        <v>318415.0336156828</v>
      </c>
      <c r="H17" s="95">
        <f>'13.Facility 2 Grain Processing'!J172</f>
        <v>384297.37980820984</v>
      </c>
    </row>
    <row r="18" spans="1:8">
      <c r="A18" s="94" t="str">
        <f t="shared" si="1"/>
        <v>Faclitiy 3 - Warehouse</v>
      </c>
      <c r="B18" s="95">
        <f>'14. Facility 3 Warehouse'!D34</f>
        <v>25600</v>
      </c>
      <c r="C18" s="95">
        <f>'14. Facility 3 Warehouse'!E34</f>
        <v>26880</v>
      </c>
      <c r="D18" s="95">
        <f>'14. Facility 3 Warehouse'!F34</f>
        <v>28224</v>
      </c>
      <c r="E18" s="95">
        <f>'14. Facility 3 Warehouse'!G34</f>
        <v>29635.200000000008</v>
      </c>
      <c r="F18" s="95">
        <f>'14. Facility 3 Warehouse'!H34</f>
        <v>31116.960000000003</v>
      </c>
      <c r="G18" s="95">
        <f>'14. Facility 3 Warehouse'!I34</f>
        <v>32672.808000000008</v>
      </c>
      <c r="H18" s="95">
        <f>'14. Facility 3 Warehouse'!J34</f>
        <v>34306.448400000008</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8903598.3248687517</v>
      </c>
      <c r="C23" s="114">
        <f t="shared" ref="C23:H23" si="2">SUM(C16:C22)</f>
        <v>16762521.225347342</v>
      </c>
      <c r="D23" s="114">
        <f t="shared" si="2"/>
        <v>20281738.408064432</v>
      </c>
      <c r="E23" s="114">
        <f t="shared" si="2"/>
        <v>24110971.005989868</v>
      </c>
      <c r="F23" s="114">
        <f t="shared" si="2"/>
        <v>28272422.517687693</v>
      </c>
      <c r="G23" s="114">
        <f t="shared" si="2"/>
        <v>32789741.75304031</v>
      </c>
      <c r="H23" s="114">
        <f t="shared" si="2"/>
        <v>37688111.855633989</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60000</v>
      </c>
      <c r="C28" s="95">
        <f>'14. Facility 3 Warehouse'!E43</f>
        <v>63000</v>
      </c>
      <c r="D28" s="95">
        <f>'14. Facility 3 Warehouse'!F43</f>
        <v>66150</v>
      </c>
      <c r="E28" s="95">
        <f>'14. Facility 3 Warehouse'!G43</f>
        <v>69457.500000000015</v>
      </c>
      <c r="F28" s="95">
        <f>'14. Facility 3 Warehouse'!H43</f>
        <v>72930.375000000015</v>
      </c>
      <c r="G28" s="95">
        <f>'14. Facility 3 Warehouse'!I43</f>
        <v>76576.893750000017</v>
      </c>
      <c r="H28" s="95">
        <f>'14. Facility 3 Warehouse'!J43</f>
        <v>80405.738437500026</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782800</v>
      </c>
      <c r="C33" s="95">
        <f>'3.Other Exp &amp; Taxes'!F23</f>
        <v>821940</v>
      </c>
      <c r="D33" s="95">
        <f>'3.Other Exp &amp; Taxes'!G23</f>
        <v>863037</v>
      </c>
      <c r="E33" s="95">
        <f>'3.Other Exp &amp; Taxes'!H23</f>
        <v>906188.85000000021</v>
      </c>
      <c r="F33" s="95">
        <f>'3.Other Exp &amp; Taxes'!I23</f>
        <v>951498.29250000021</v>
      </c>
      <c r="G33" s="95">
        <f>'3.Other Exp &amp; Taxes'!J23</f>
        <v>999073.20712500007</v>
      </c>
      <c r="H33" s="95">
        <f>'3.Other Exp &amp; Taxes'!K23</f>
        <v>1049026.8674812503</v>
      </c>
    </row>
    <row r="34" spans="1:10">
      <c r="A34" s="96" t="s">
        <v>323</v>
      </c>
      <c r="B34" s="114">
        <f t="shared" ref="B34:H34" si="4">SUM(B26:B33)</f>
        <v>2762800</v>
      </c>
      <c r="C34" s="114">
        <f t="shared" si="4"/>
        <v>2900940</v>
      </c>
      <c r="D34" s="114">
        <f t="shared" si="4"/>
        <v>3045987</v>
      </c>
      <c r="E34" s="114">
        <f t="shared" si="4"/>
        <v>3198286.3500000006</v>
      </c>
      <c r="F34" s="114">
        <f t="shared" si="4"/>
        <v>3358200.6675000004</v>
      </c>
      <c r="G34" s="114">
        <f t="shared" si="4"/>
        <v>3526110.7008750006</v>
      </c>
      <c r="H34" s="114">
        <f t="shared" si="4"/>
        <v>3702416.235918751</v>
      </c>
    </row>
    <row r="35" spans="1:10">
      <c r="A35" s="94"/>
      <c r="B35" s="95"/>
      <c r="C35" s="95"/>
      <c r="D35" s="95"/>
      <c r="E35" s="95"/>
      <c r="F35" s="95"/>
      <c r="G35" s="95"/>
      <c r="H35" s="95"/>
    </row>
    <row r="36" spans="1:10">
      <c r="A36" s="96" t="s">
        <v>328</v>
      </c>
      <c r="B36" s="114">
        <f t="shared" ref="B36:H36" si="5">B23+B34</f>
        <v>11666398.324868752</v>
      </c>
      <c r="C36" s="114">
        <f t="shared" si="5"/>
        <v>19663461.22534734</v>
      </c>
      <c r="D36" s="114">
        <f t="shared" si="5"/>
        <v>23327725.408064432</v>
      </c>
      <c r="E36" s="114">
        <f t="shared" si="5"/>
        <v>27309257.35598987</v>
      </c>
      <c r="F36" s="114">
        <f t="shared" si="5"/>
        <v>31630623.185187694</v>
      </c>
      <c r="G36" s="114">
        <f t="shared" si="5"/>
        <v>36315852.453915313</v>
      </c>
      <c r="H36" s="114">
        <f t="shared" si="5"/>
        <v>41390528.091552742</v>
      </c>
    </row>
    <row r="37" spans="1:10">
      <c r="A37" s="94"/>
      <c r="B37" s="95"/>
      <c r="C37" s="95"/>
      <c r="D37" s="95"/>
      <c r="E37" s="95"/>
      <c r="F37" s="95"/>
      <c r="G37" s="95"/>
      <c r="H37" s="95"/>
    </row>
    <row r="38" spans="1:10">
      <c r="A38" s="96" t="s">
        <v>136</v>
      </c>
      <c r="B38" s="114">
        <f t="shared" ref="B38:H38" si="6">B13-B36</f>
        <v>-96490.961468752474</v>
      </c>
      <c r="C38" s="114">
        <f t="shared" si="6"/>
        <v>2100589.9926876612</v>
      </c>
      <c r="D38" s="114">
        <f t="shared" si="6"/>
        <v>3108522.3938960694</v>
      </c>
      <c r="E38" s="114">
        <f t="shared" si="6"/>
        <v>4211996.5602435879</v>
      </c>
      <c r="F38" s="114">
        <f t="shared" si="6"/>
        <v>5418046.8372411244</v>
      </c>
      <c r="G38" s="114">
        <f t="shared" si="6"/>
        <v>6703541.3930378109</v>
      </c>
      <c r="H38" s="114">
        <f t="shared" si="6"/>
        <v>8104040.2873210683</v>
      </c>
      <c r="J38" s="67">
        <f>B47+B40+B41</f>
        <v>-641997.72617473884</v>
      </c>
    </row>
    <row r="39" spans="1:10">
      <c r="A39" s="94"/>
      <c r="B39" s="95"/>
      <c r="C39" s="95"/>
      <c r="D39" s="95"/>
      <c r="E39" s="95"/>
      <c r="F39" s="95"/>
      <c r="G39" s="95"/>
      <c r="H39" s="95"/>
      <c r="J39">
        <f>'5.Closing Stock &amp; W Capital'!E51</f>
        <v>2727533.8235299322</v>
      </c>
    </row>
    <row r="40" spans="1:10">
      <c r="A40" s="98" t="s">
        <v>17</v>
      </c>
      <c r="B40" s="95">
        <f>'3.Other Exp &amp; Taxes'!C66</f>
        <v>257500.50639999998</v>
      </c>
      <c r="C40" s="95">
        <f>'3.Other Exp &amp; Taxes'!D66</f>
        <v>257500.50639999998</v>
      </c>
      <c r="D40" s="95">
        <f>'3.Other Exp &amp; Taxes'!E66</f>
        <v>257500.50639999998</v>
      </c>
      <c r="E40" s="95">
        <f>'3.Other Exp &amp; Taxes'!F66</f>
        <v>257500.50639999998</v>
      </c>
      <c r="F40" s="95">
        <f>'3.Other Exp &amp; Taxes'!G66</f>
        <v>257500.50639999998</v>
      </c>
      <c r="G40" s="95">
        <f>'3.Other Exp &amp; Taxes'!H66</f>
        <v>257500.50639999998</v>
      </c>
      <c r="H40" s="95">
        <f>'3.Other Exp &amp; Taxes'!I66</f>
        <v>257500.50639999998</v>
      </c>
      <c r="J40" s="67">
        <f>J38+J39</f>
        <v>2085536.0973551935</v>
      </c>
    </row>
    <row r="41" spans="1:10">
      <c r="A41" s="98" t="s">
        <v>137</v>
      </c>
      <c r="B41" s="95">
        <f>'3.Other Exp &amp; Taxes'!C86</f>
        <v>70000</v>
      </c>
      <c r="C41" s="95">
        <f>'3.Other Exp &amp; Taxes'!D86</f>
        <v>70000</v>
      </c>
      <c r="D41" s="95">
        <f>'3.Other Exp &amp; Taxes'!E86</f>
        <v>70000</v>
      </c>
      <c r="E41" s="95">
        <f>'3.Other Exp &amp; Taxes'!F86</f>
        <v>70000</v>
      </c>
      <c r="F41" s="95">
        <f>'3.Other Exp &amp; Taxes'!G86</f>
        <v>70000</v>
      </c>
      <c r="G41" s="95">
        <f>'3.Other Exp &amp; Taxes'!H86</f>
        <v>0</v>
      </c>
      <c r="H41" s="95">
        <f>'3.Other Exp &amp; Taxes'!I86</f>
        <v>0</v>
      </c>
    </row>
    <row r="42" spans="1:10">
      <c r="A42" s="94"/>
      <c r="B42" s="95"/>
      <c r="C42" s="95"/>
      <c r="D42" s="95"/>
      <c r="E42" s="95"/>
      <c r="F42" s="95"/>
      <c r="G42" s="95"/>
      <c r="H42" s="95"/>
    </row>
    <row r="43" spans="1:10">
      <c r="A43" s="96" t="s">
        <v>138</v>
      </c>
      <c r="B43" s="114">
        <f>B38-B40-B41</f>
        <v>-423991.46786875243</v>
      </c>
      <c r="C43" s="114">
        <f t="shared" ref="C43:H43" si="7">C38-C40-C41</f>
        <v>1773089.4862876611</v>
      </c>
      <c r="D43" s="114">
        <f t="shared" si="7"/>
        <v>2781021.8874960695</v>
      </c>
      <c r="E43" s="114">
        <f t="shared" si="7"/>
        <v>3884496.0538435881</v>
      </c>
      <c r="F43" s="114">
        <f t="shared" si="7"/>
        <v>5090546.3308411241</v>
      </c>
      <c r="G43" s="114">
        <f t="shared" si="7"/>
        <v>6446040.8866378106</v>
      </c>
      <c r="H43" s="114">
        <f t="shared" si="7"/>
        <v>7846539.780921068</v>
      </c>
    </row>
    <row r="44" spans="1:10">
      <c r="A44" s="94"/>
      <c r="B44" s="95"/>
      <c r="C44" s="95"/>
      <c r="D44" s="95"/>
      <c r="E44" s="95"/>
      <c r="F44" s="95"/>
      <c r="G44" s="95"/>
      <c r="H44" s="95"/>
    </row>
    <row r="45" spans="1:10">
      <c r="A45" s="94" t="s">
        <v>24</v>
      </c>
      <c r="B45" s="95">
        <f>'8.Cash Flow '!C26+'8.Cash Flow '!C28</f>
        <v>545506.76470598637</v>
      </c>
      <c r="C45" s="95">
        <f>'8.Cash Flow '!D26+'8.Cash Flow '!D28</f>
        <v>909122.94916827523</v>
      </c>
      <c r="D45" s="95">
        <f>'8.Cash Flow '!E26+'8.Cash Flow '!E28</f>
        <v>1093365.2974841746</v>
      </c>
      <c r="E45" s="95">
        <f>'8.Cash Flow '!F26+'8.Cash Flow '!F28</f>
        <v>1293759.0732587429</v>
      </c>
      <c r="F45" s="95">
        <f>'8.Cash Flow '!G26+'8.Cash Flow '!G28</f>
        <v>1511458.8133670585</v>
      </c>
      <c r="G45" s="95">
        <f>'8.Cash Flow '!H26+'8.Cash Flow '!H28</f>
        <v>1747392.0182222363</v>
      </c>
      <c r="H45" s="95">
        <f>'8.Cash Flow '!I26+'8.Cash Flow '!I28</f>
        <v>2003139.896529515</v>
      </c>
    </row>
    <row r="46" spans="1:10">
      <c r="A46" s="94"/>
      <c r="B46" s="95"/>
      <c r="C46" s="95"/>
      <c r="D46" s="95"/>
      <c r="E46" s="95"/>
      <c r="F46" s="95"/>
      <c r="G46" s="95"/>
      <c r="H46" s="95"/>
    </row>
    <row r="47" spans="1:10">
      <c r="A47" s="94" t="s">
        <v>25</v>
      </c>
      <c r="B47" s="95">
        <f>B43-B45</f>
        <v>-969498.23257473879</v>
      </c>
      <c r="C47" s="95">
        <f t="shared" ref="C47:H47" si="8">C43-C45</f>
        <v>863966.5371193859</v>
      </c>
      <c r="D47" s="95">
        <f t="shared" si="8"/>
        <v>1687656.5900118949</v>
      </c>
      <c r="E47" s="95">
        <f t="shared" si="8"/>
        <v>2590736.9805848449</v>
      </c>
      <c r="F47" s="95">
        <f t="shared" si="8"/>
        <v>3579087.5174740655</v>
      </c>
      <c r="G47" s="95">
        <f t="shared" si="8"/>
        <v>4698648.8684155745</v>
      </c>
      <c r="H47" s="95">
        <f t="shared" si="8"/>
        <v>5843399.8843915528</v>
      </c>
    </row>
    <row r="48" spans="1:10">
      <c r="A48" s="94" t="s">
        <v>26</v>
      </c>
      <c r="B48" s="95">
        <f>'3.Other Exp &amp; Taxes'!B99</f>
        <v>-346749.73154368473</v>
      </c>
      <c r="C48" s="95">
        <f>'3.Other Exp &amp; Taxes'!C99</f>
        <v>136179.00587984646</v>
      </c>
      <c r="D48" s="95">
        <f>'3.Other Exp &amp; Taxes'!D99</f>
        <v>362304.68235297373</v>
      </c>
      <c r="E48" s="95">
        <f>'3.Other Exp &amp; Taxes'!E99</f>
        <v>604939.96875871124</v>
      </c>
      <c r="F48" s="95">
        <f>'3.Other Exp &amp; Taxes'!F99</f>
        <v>866266.26342914137</v>
      </c>
      <c r="G48" s="95">
        <f>'3.Other Exp &amp; Taxes'!G99</f>
        <v>1158280.387545425</v>
      </c>
      <c r="H48" s="95">
        <f>'3.Other Exp &amp; Taxes'!H99</f>
        <v>1454856.9924631899</v>
      </c>
    </row>
    <row r="49" spans="1:9">
      <c r="A49" s="96" t="s">
        <v>28</v>
      </c>
      <c r="B49" s="95">
        <f>B47-B48</f>
        <v>-622748.50103105407</v>
      </c>
      <c r="C49" s="95">
        <f>C47-C48</f>
        <v>727787.53123953938</v>
      </c>
      <c r="D49" s="95">
        <f>D47-D48</f>
        <v>1325351.9076589211</v>
      </c>
      <c r="E49" s="95">
        <f>E47-E48</f>
        <v>1985797.0118261338</v>
      </c>
      <c r="F49" s="95">
        <f>F47-F48</f>
        <v>2712821.2540449239</v>
      </c>
      <c r="G49" s="95">
        <f t="shared" ref="G49:H49" si="9">G47-G48</f>
        <v>3540368.4808701496</v>
      </c>
      <c r="H49" s="95">
        <f t="shared" si="9"/>
        <v>4388542.8919283627</v>
      </c>
    </row>
    <row r="50" spans="1:9">
      <c r="A50" s="93" t="s">
        <v>510</v>
      </c>
      <c r="B50" s="111">
        <f>B49</f>
        <v>-622748.50103105407</v>
      </c>
      <c r="C50" s="111">
        <f t="shared" ref="C50:H50" si="10">B50+C49</f>
        <v>105039.03020848532</v>
      </c>
      <c r="D50" s="111">
        <f t="shared" si="10"/>
        <v>1430390.9378674063</v>
      </c>
      <c r="E50" s="111">
        <f t="shared" si="10"/>
        <v>3416187.9496935401</v>
      </c>
      <c r="F50" s="111">
        <f t="shared" si="10"/>
        <v>6129009.203738464</v>
      </c>
      <c r="G50" s="111">
        <f t="shared" si="10"/>
        <v>9669377.6846086141</v>
      </c>
      <c r="H50" s="111">
        <f t="shared" si="10"/>
        <v>14057920.576536976</v>
      </c>
    </row>
    <row r="51" spans="1:9" ht="32.450000000000003" customHeight="1">
      <c r="A51" s="445" t="s">
        <v>408</v>
      </c>
      <c r="B51" s="445"/>
      <c r="C51" s="445"/>
      <c r="D51" s="445"/>
      <c r="E51" s="445"/>
      <c r="F51" s="445"/>
      <c r="G51" s="445"/>
      <c r="H51" s="445"/>
      <c r="I51" s="445"/>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dimension ref="A1:R49"/>
  <sheetViews>
    <sheetView view="pageBreakPreview" zoomScale="80" zoomScaleSheetLayoutView="80" workbookViewId="0">
      <selection sqref="A1:F1"/>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29"/>
      <c r="B1" s="429"/>
      <c r="C1" s="429"/>
      <c r="D1" s="429"/>
      <c r="E1" s="429"/>
      <c r="F1" s="429"/>
    </row>
    <row r="2" spans="1:18" ht="18.75">
      <c r="A2" s="446" t="s">
        <v>710</v>
      </c>
      <c r="B2" s="415"/>
      <c r="C2" s="415"/>
      <c r="D2" s="415"/>
      <c r="E2" s="415"/>
      <c r="F2" s="415"/>
      <c r="G2" s="415"/>
      <c r="H2" s="415"/>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2432285.8288988806</v>
      </c>
      <c r="C7" s="128">
        <f>'8.Cash Flow '!D33</f>
        <v>3487573.866538424</v>
      </c>
      <c r="D7" s="128">
        <f>'8.Cash Flow '!E33</f>
        <v>5140426.2805973478</v>
      </c>
      <c r="E7" s="128">
        <f>'8.Cash Flow '!F33</f>
        <v>7453723.798823487</v>
      </c>
      <c r="F7" s="128">
        <f>'8.Cash Flow '!G33</f>
        <v>10494045.559268404</v>
      </c>
      <c r="G7" s="128">
        <f>'8.Cash Flow '!H33</f>
        <v>14291914.546538558</v>
      </c>
      <c r="H7" s="128">
        <f>'8.Cash Flow '!I33</f>
        <v>18937957.944866922</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589</v>
      </c>
      <c r="B9" s="130"/>
      <c r="C9" s="130"/>
      <c r="D9" s="130"/>
      <c r="E9" s="130"/>
      <c r="F9" s="130"/>
      <c r="G9" s="130"/>
      <c r="H9" s="130"/>
      <c r="K9" s="68"/>
      <c r="L9" s="68"/>
      <c r="M9" s="68"/>
      <c r="N9" s="68"/>
      <c r="O9" s="68"/>
      <c r="P9" s="68"/>
      <c r="Q9" s="68"/>
      <c r="R9" s="68"/>
    </row>
    <row r="10" spans="1:18">
      <c r="A10" s="125" t="s">
        <v>251</v>
      </c>
      <c r="B10" s="128">
        <f t="shared" ref="B10:H10" si="0">SUM(B7:B9)</f>
        <v>2432285.8288988806</v>
      </c>
      <c r="C10" s="128">
        <f t="shared" si="0"/>
        <v>3487573.866538424</v>
      </c>
      <c r="D10" s="128">
        <f t="shared" si="0"/>
        <v>5140426.2805973478</v>
      </c>
      <c r="E10" s="128">
        <f t="shared" si="0"/>
        <v>7453723.798823487</v>
      </c>
      <c r="F10" s="128">
        <f t="shared" si="0"/>
        <v>10494045.559268404</v>
      </c>
      <c r="G10" s="128">
        <f t="shared" si="0"/>
        <v>14291914.546538558</v>
      </c>
      <c r="H10" s="128">
        <f t="shared" si="0"/>
        <v>18937957.944866922</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5200008</v>
      </c>
      <c r="C12" s="130">
        <f>'3.Other Exp &amp; Taxes'!D65</f>
        <v>4942507.4935999997</v>
      </c>
      <c r="D12" s="130">
        <f>'3.Other Exp &amp; Taxes'!E65</f>
        <v>4685006.9872000003</v>
      </c>
      <c r="E12" s="130">
        <f>'3.Other Exp &amp; Taxes'!F65</f>
        <v>4427506.4808</v>
      </c>
      <c r="F12" s="130">
        <f>'3.Other Exp &amp; Taxes'!G65</f>
        <v>4170005.9744000002</v>
      </c>
      <c r="G12" s="130">
        <f>'3.Other Exp &amp; Taxes'!H65</f>
        <v>3912505.4680000003</v>
      </c>
      <c r="H12" s="130">
        <f>'3.Other Exp &amp; Taxes'!I65</f>
        <v>3655004.9616</v>
      </c>
    </row>
    <row r="13" spans="1:18">
      <c r="A13" s="131" t="s">
        <v>253</v>
      </c>
      <c r="B13" s="130">
        <f>'3.Other Exp &amp; Taxes'!C66</f>
        <v>257500.50639999998</v>
      </c>
      <c r="C13" s="130">
        <f>'3.Other Exp &amp; Taxes'!D66</f>
        <v>257500.50639999998</v>
      </c>
      <c r="D13" s="130">
        <f>'3.Other Exp &amp; Taxes'!E66</f>
        <v>257500.50639999998</v>
      </c>
      <c r="E13" s="130">
        <f>'3.Other Exp &amp; Taxes'!F66</f>
        <v>257500.50639999998</v>
      </c>
      <c r="F13" s="130">
        <f>'3.Other Exp &amp; Taxes'!G66</f>
        <v>257500.50639999998</v>
      </c>
      <c r="G13" s="130">
        <f>'3.Other Exp &amp; Taxes'!H66</f>
        <v>257500.50639999998</v>
      </c>
      <c r="H13" s="130">
        <f>'3.Other Exp &amp; Taxes'!I66</f>
        <v>257500.50639999998</v>
      </c>
      <c r="K13" s="68"/>
      <c r="L13" s="68"/>
      <c r="M13" s="68"/>
      <c r="N13" s="68"/>
      <c r="O13" s="68"/>
      <c r="P13" s="68"/>
      <c r="Q13" s="68"/>
    </row>
    <row r="14" spans="1:18" s="55" customFormat="1">
      <c r="A14" s="125" t="s">
        <v>198</v>
      </c>
      <c r="B14" s="128">
        <f t="shared" ref="B14:H14" si="1">B12-B13</f>
        <v>4942507.4935999997</v>
      </c>
      <c r="C14" s="128">
        <f t="shared" si="1"/>
        <v>4685006.9871999994</v>
      </c>
      <c r="D14" s="128">
        <f t="shared" si="1"/>
        <v>4427506.4808</v>
      </c>
      <c r="E14" s="128">
        <f t="shared" si="1"/>
        <v>4170005.9744000002</v>
      </c>
      <c r="F14" s="128">
        <f t="shared" si="1"/>
        <v>3912505.4680000003</v>
      </c>
      <c r="G14" s="128">
        <f t="shared" si="1"/>
        <v>3655004.9616000005</v>
      </c>
      <c r="H14" s="128">
        <f t="shared" si="1"/>
        <v>3397504.4552000002</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512</v>
      </c>
      <c r="B17" s="128">
        <f>'8.Cash Flow '!C20-'6.Cons Profit &amp; Loss'!B41</f>
        <v>280000</v>
      </c>
      <c r="C17" s="128">
        <f>B17-'6.Cons Profit &amp; Loss'!C41</f>
        <v>210000</v>
      </c>
      <c r="D17" s="128">
        <f>C17-'6.Cons Profit &amp; Loss'!D41</f>
        <v>140000</v>
      </c>
      <c r="E17" s="128">
        <f>D17-'6.Cons Profit &amp; Loss'!E41</f>
        <v>70000</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7654793.3224988803</v>
      </c>
      <c r="C19" s="133">
        <f t="shared" si="2"/>
        <v>8382580.8537384234</v>
      </c>
      <c r="D19" s="133">
        <f t="shared" si="2"/>
        <v>9707932.7613973469</v>
      </c>
      <c r="E19" s="133">
        <f t="shared" si="2"/>
        <v>11693729.773223488</v>
      </c>
      <c r="F19" s="133">
        <f t="shared" si="2"/>
        <v>14406551.027268404</v>
      </c>
      <c r="G19" s="133">
        <f t="shared" si="2"/>
        <v>17946919.50813856</v>
      </c>
      <c r="H19" s="133">
        <f t="shared" si="2"/>
        <v>22335462.400066923</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0</v>
      </c>
      <c r="C27" s="133">
        <f>'4.TL repayment sch'!G33</f>
        <v>0</v>
      </c>
      <c r="D27" s="133">
        <f>'4.TL repayment sch'!G45</f>
        <v>0</v>
      </c>
      <c r="E27" s="133">
        <f>'4.TL repayment sch'!G57</f>
        <v>0</v>
      </c>
      <c r="F27" s="133">
        <f>'4.TL repayment sch'!G69</f>
        <v>0</v>
      </c>
      <c r="G27" s="133">
        <f>'4.TL repayment sch'!G81</f>
        <v>0</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0</v>
      </c>
      <c r="C30" s="133">
        <f t="shared" si="4"/>
        <v>0</v>
      </c>
      <c r="D30" s="133">
        <f t="shared" si="4"/>
        <v>0</v>
      </c>
      <c r="E30" s="133">
        <f t="shared" si="4"/>
        <v>0</v>
      </c>
      <c r="F30" s="133">
        <f t="shared" si="4"/>
        <v>0</v>
      </c>
      <c r="G30" s="133">
        <f t="shared" si="4"/>
        <v>0</v>
      </c>
      <c r="H30" s="133">
        <f t="shared" si="4"/>
        <v>0</v>
      </c>
    </row>
    <row r="31" spans="1:8">
      <c r="A31" s="120"/>
      <c r="B31" s="137"/>
      <c r="C31" s="137"/>
      <c r="D31" s="137"/>
      <c r="E31" s="137"/>
      <c r="F31" s="137"/>
      <c r="G31" s="137"/>
      <c r="H31" s="137"/>
    </row>
    <row r="32" spans="1:8">
      <c r="A32" s="131" t="s">
        <v>265</v>
      </c>
      <c r="B32" s="130">
        <f>'1.Project Cost and MOF'!E22</f>
        <v>4947537.0235299328</v>
      </c>
      <c r="C32" s="130">
        <f>B32</f>
        <v>4947537.0235299328</v>
      </c>
      <c r="D32" s="130">
        <f t="shared" ref="D32:H33" si="5">C32</f>
        <v>4947537.0235299328</v>
      </c>
      <c r="E32" s="130">
        <f t="shared" si="5"/>
        <v>4947537.0235299328</v>
      </c>
      <c r="F32" s="130">
        <f t="shared" si="5"/>
        <v>4947537.0235299328</v>
      </c>
      <c r="G32" s="130">
        <f t="shared" si="5"/>
        <v>4947537.0235299328</v>
      </c>
      <c r="H32" s="130">
        <f t="shared" si="5"/>
        <v>4947537.0235299328</v>
      </c>
    </row>
    <row r="33" spans="1:8">
      <c r="A33" s="131" t="s">
        <v>513</v>
      </c>
      <c r="B33" s="130">
        <f>'1.Project Cost and MOF'!E20</f>
        <v>3330004.8</v>
      </c>
      <c r="C33" s="130">
        <f>B33</f>
        <v>3330004.8</v>
      </c>
      <c r="D33" s="130">
        <f t="shared" si="5"/>
        <v>3330004.8</v>
      </c>
      <c r="E33" s="130">
        <f t="shared" si="5"/>
        <v>3330004.8</v>
      </c>
      <c r="F33" s="130">
        <f t="shared" si="5"/>
        <v>3330004.8</v>
      </c>
      <c r="G33" s="130">
        <f t="shared" si="5"/>
        <v>3330004.8</v>
      </c>
      <c r="H33" s="130">
        <f t="shared" si="5"/>
        <v>3330004.8</v>
      </c>
    </row>
    <row r="34" spans="1:8">
      <c r="A34" s="125" t="s">
        <v>266</v>
      </c>
      <c r="B34" s="130"/>
      <c r="C34" s="130"/>
      <c r="D34" s="130"/>
      <c r="E34" s="130"/>
      <c r="F34" s="130"/>
      <c r="G34" s="130"/>
      <c r="H34" s="130"/>
    </row>
    <row r="35" spans="1:8">
      <c r="A35" s="131" t="s">
        <v>267</v>
      </c>
      <c r="B35" s="130">
        <v>0</v>
      </c>
      <c r="C35" s="130">
        <f t="shared" ref="C35:H35" si="6">B38</f>
        <v>-622748.50103105407</v>
      </c>
      <c r="D35" s="130">
        <f t="shared" si="6"/>
        <v>105039.03020848532</v>
      </c>
      <c r="E35" s="130">
        <f t="shared" si="6"/>
        <v>1430390.9378674063</v>
      </c>
      <c r="F35" s="130">
        <f t="shared" si="6"/>
        <v>3416187.9496935401</v>
      </c>
      <c r="G35" s="130">
        <f t="shared" si="6"/>
        <v>6129009.203738464</v>
      </c>
      <c r="H35" s="130">
        <f t="shared" si="6"/>
        <v>9669377.6846086141</v>
      </c>
    </row>
    <row r="36" spans="1:8">
      <c r="A36" s="131" t="s">
        <v>268</v>
      </c>
      <c r="B36" s="130">
        <f>'6.Cons Profit &amp; Loss'!B50</f>
        <v>-622748.50103105407</v>
      </c>
      <c r="C36" s="130">
        <f>'6.Cons Profit &amp; Loss'!C49</f>
        <v>727787.53123953938</v>
      </c>
      <c r="D36" s="130">
        <f>'6.Cons Profit &amp; Loss'!D49</f>
        <v>1325351.9076589211</v>
      </c>
      <c r="E36" s="130">
        <f>'6.Cons Profit &amp; Loss'!E49</f>
        <v>1985797.0118261338</v>
      </c>
      <c r="F36" s="130">
        <f>'6.Cons Profit &amp; Loss'!F49</f>
        <v>2712821.2540449239</v>
      </c>
      <c r="G36" s="130">
        <f>'6.Cons Profit &amp; Loss'!G49</f>
        <v>3540368.4808701496</v>
      </c>
      <c r="H36" s="130">
        <f>'6.Cons Profit &amp; Loss'!H49</f>
        <v>4388542.8919283627</v>
      </c>
    </row>
    <row r="37" spans="1:8">
      <c r="A37" s="131" t="s">
        <v>269</v>
      </c>
      <c r="B37" s="130"/>
      <c r="C37" s="130"/>
      <c r="D37" s="130"/>
      <c r="E37" s="130"/>
      <c r="F37" s="130"/>
      <c r="G37" s="130"/>
      <c r="H37" s="130"/>
    </row>
    <row r="38" spans="1:8">
      <c r="A38" s="131" t="s">
        <v>270</v>
      </c>
      <c r="B38" s="130">
        <f t="shared" ref="B38:H38" si="7">B35+B36-B37</f>
        <v>-622748.50103105407</v>
      </c>
      <c r="C38" s="130">
        <f t="shared" si="7"/>
        <v>105039.03020848532</v>
      </c>
      <c r="D38" s="130">
        <f t="shared" si="7"/>
        <v>1430390.9378674063</v>
      </c>
      <c r="E38" s="130">
        <f t="shared" si="7"/>
        <v>3416187.9496935401</v>
      </c>
      <c r="F38" s="130">
        <f t="shared" si="7"/>
        <v>6129009.203738464</v>
      </c>
      <c r="G38" s="130">
        <f t="shared" si="7"/>
        <v>9669377.6846086141</v>
      </c>
      <c r="H38" s="130">
        <f t="shared" si="7"/>
        <v>14057920.576536976</v>
      </c>
    </row>
    <row r="39" spans="1:8">
      <c r="A39" s="131"/>
      <c r="B39" s="135"/>
      <c r="C39" s="135"/>
      <c r="D39" s="135"/>
      <c r="E39" s="135"/>
      <c r="F39" s="135"/>
      <c r="G39" s="135"/>
      <c r="H39" s="135"/>
    </row>
    <row r="40" spans="1:8">
      <c r="A40" s="138" t="s">
        <v>271</v>
      </c>
      <c r="B40" s="139">
        <f t="shared" ref="B40:H40" si="8">B32+B38+B33</f>
        <v>7654793.3224988785</v>
      </c>
      <c r="C40" s="139">
        <f t="shared" si="8"/>
        <v>8382580.8537384178</v>
      </c>
      <c r="D40" s="139">
        <f t="shared" si="8"/>
        <v>9707932.7613973394</v>
      </c>
      <c r="E40" s="139">
        <f t="shared" si="8"/>
        <v>11693729.773223473</v>
      </c>
      <c r="F40" s="139">
        <f t="shared" si="8"/>
        <v>14406551.027268399</v>
      </c>
      <c r="G40" s="139">
        <f t="shared" si="8"/>
        <v>17946919.508138549</v>
      </c>
      <c r="H40" s="139">
        <f t="shared" si="8"/>
        <v>22335462.400066908</v>
      </c>
    </row>
    <row r="41" spans="1:8">
      <c r="A41" s="120"/>
      <c r="B41" s="130"/>
      <c r="C41" s="130"/>
      <c r="D41" s="130"/>
      <c r="E41" s="130"/>
      <c r="F41" s="130"/>
      <c r="G41" s="130"/>
      <c r="H41" s="130"/>
    </row>
    <row r="42" spans="1:8">
      <c r="A42" s="132" t="s">
        <v>272</v>
      </c>
      <c r="B42" s="133">
        <f t="shared" ref="B42:H42" si="9">B30+B40</f>
        <v>7654793.3224988785</v>
      </c>
      <c r="C42" s="133">
        <f t="shared" si="9"/>
        <v>8382580.8537384178</v>
      </c>
      <c r="D42" s="133">
        <f t="shared" si="9"/>
        <v>9707932.7613973394</v>
      </c>
      <c r="E42" s="133">
        <f t="shared" si="9"/>
        <v>11693729.773223473</v>
      </c>
      <c r="F42" s="133">
        <f t="shared" si="9"/>
        <v>14406551.027268399</v>
      </c>
      <c r="G42" s="133">
        <f t="shared" si="9"/>
        <v>17946919.508138549</v>
      </c>
      <c r="H42" s="133">
        <f t="shared" si="9"/>
        <v>22335462.400066908</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-1.4901161193847656E-8</v>
      </c>
      <c r="F45" s="144">
        <f t="shared" si="10"/>
        <v>0</v>
      </c>
      <c r="G45" s="144">
        <f t="shared" si="10"/>
        <v>0</v>
      </c>
      <c r="H45" s="144">
        <f t="shared" si="10"/>
        <v>0</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47" t="s">
        <v>409</v>
      </c>
      <c r="B49" s="448"/>
      <c r="C49" s="448"/>
      <c r="D49" s="448"/>
      <c r="E49" s="448"/>
      <c r="F49" s="448"/>
      <c r="G49" s="448"/>
      <c r="H49" s="448"/>
      <c r="I49" s="448"/>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dimension ref="A1:J41"/>
  <sheetViews>
    <sheetView view="pageBreakPreview" zoomScale="80" zoomScaleSheetLayoutView="80" workbookViewId="0">
      <selection sqref="A1:G1"/>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29"/>
      <c r="B1" s="429"/>
      <c r="C1" s="429"/>
      <c r="D1" s="429"/>
      <c r="E1" s="429"/>
      <c r="F1" s="429"/>
      <c r="G1" s="429"/>
    </row>
    <row r="2" spans="1:10" ht="18.75">
      <c r="A2" s="415" t="s">
        <v>709</v>
      </c>
      <c r="B2" s="415"/>
      <c r="C2" s="415"/>
      <c r="D2" s="415"/>
      <c r="E2" s="415"/>
      <c r="F2" s="415"/>
      <c r="G2" s="415"/>
      <c r="H2" s="415"/>
      <c r="I2" s="415"/>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11569907.363399999</v>
      </c>
      <c r="D6" s="41">
        <f>'6.Cons Profit &amp; Loss'!C13</f>
        <v>21764051.218035001</v>
      </c>
      <c r="E6" s="41">
        <f>'6.Cons Profit &amp; Loss'!D13</f>
        <v>26436247.801960502</v>
      </c>
      <c r="F6" s="41">
        <f>'6.Cons Profit &amp; Loss'!E13</f>
        <v>31521253.916233458</v>
      </c>
      <c r="G6" s="41">
        <f>'6.Cons Profit &amp; Loss'!F13</f>
        <v>37048670.022428818</v>
      </c>
      <c r="H6" s="41">
        <f>'6.Cons Profit &amp; Loss'!G13</f>
        <v>43019393.846953124</v>
      </c>
      <c r="I6" s="41">
        <f>'6.Cons Profit &amp; Loss'!H13</f>
        <v>49494568.37887381</v>
      </c>
    </row>
    <row r="7" spans="1:10">
      <c r="A7" s="40">
        <v>2</v>
      </c>
      <c r="B7" s="40" t="s">
        <v>231</v>
      </c>
      <c r="C7" s="41">
        <f>'1.Project Cost and MOF'!E22</f>
        <v>4947537.0235299328</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3330004.8</v>
      </c>
      <c r="D9" s="41"/>
      <c r="E9" s="41"/>
      <c r="F9" s="41"/>
      <c r="G9" s="41"/>
      <c r="H9" s="41"/>
      <c r="I9" s="41"/>
    </row>
    <row r="10" spans="1:10">
      <c r="A10" s="40">
        <v>4</v>
      </c>
      <c r="B10" s="40" t="s">
        <v>232</v>
      </c>
      <c r="C10" s="41">
        <f>'1.Project Cost and MOF'!E21</f>
        <v>0</v>
      </c>
      <c r="D10" s="41"/>
      <c r="E10" s="41"/>
      <c r="F10" s="41"/>
      <c r="G10" s="41"/>
      <c r="H10" s="41"/>
      <c r="I10" s="41"/>
    </row>
    <row r="11" spans="1:10">
      <c r="A11" s="40">
        <v>5</v>
      </c>
      <c r="B11" s="40" t="s">
        <v>233</v>
      </c>
      <c r="C11" s="41">
        <f>'5.Closing Stock &amp; W Capital'!E50*75%</f>
        <v>4545889.7058832198</v>
      </c>
      <c r="D11" s="41">
        <f>'5.Closing Stock &amp; W Capital'!F50</f>
        <v>7576024.5764022935</v>
      </c>
      <c r="E11" s="41">
        <f>'5.Closing Stock &amp; W Capital'!G50</f>
        <v>9111377.4790347889</v>
      </c>
      <c r="F11" s="41">
        <f>'5.Closing Stock &amp; W Capital'!H50</f>
        <v>10781325.610489525</v>
      </c>
      <c r="G11" s="41">
        <f>'5.Closing Stock &amp; W Capital'!I50</f>
        <v>12595490.111392155</v>
      </c>
      <c r="H11" s="41">
        <f>'5.Closing Stock &amp; W Capital'!J50</f>
        <v>14561600.151851969</v>
      </c>
      <c r="I11" s="41">
        <f>'5.Closing Stock &amp; W Capital'!K50</f>
        <v>16692832.471079292</v>
      </c>
    </row>
    <row r="12" spans="1:10">
      <c r="A12" s="40"/>
      <c r="B12" s="40" t="s">
        <v>234</v>
      </c>
      <c r="C12" s="43">
        <f t="shared" ref="C12:I12" si="0">SUM(C6:C11)</f>
        <v>24393338.892813154</v>
      </c>
      <c r="D12" s="43">
        <f t="shared" si="0"/>
        <v>29340075.794437297</v>
      </c>
      <c r="E12" s="43">
        <f t="shared" si="0"/>
        <v>35547625.280995294</v>
      </c>
      <c r="F12" s="43">
        <f t="shared" si="0"/>
        <v>42302579.526722983</v>
      </c>
      <c r="G12" s="43">
        <f t="shared" si="0"/>
        <v>49644160.133820973</v>
      </c>
      <c r="H12" s="43">
        <f t="shared" si="0"/>
        <v>57580993.998805091</v>
      </c>
      <c r="I12" s="43">
        <f t="shared" si="0"/>
        <v>66187400.8499531</v>
      </c>
    </row>
    <row r="13" spans="1:10">
      <c r="A13" s="449" t="s">
        <v>235</v>
      </c>
      <c r="B13" s="449"/>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2500000</v>
      </c>
      <c r="D15" s="46"/>
      <c r="E15" s="46"/>
      <c r="F15" s="46"/>
      <c r="G15" s="46"/>
      <c r="H15" s="46"/>
      <c r="I15" s="46"/>
    </row>
    <row r="16" spans="1:10">
      <c r="A16" s="45" t="s">
        <v>238</v>
      </c>
      <c r="B16" s="47" t="str">
        <f>'[1]Total Cost of Project'!C4</f>
        <v>Machinery and Equipment</v>
      </c>
      <c r="C16" s="46">
        <f>'1.Project Cost and MOF'!D7</f>
        <v>2500008</v>
      </c>
      <c r="D16" s="46"/>
      <c r="E16" s="46"/>
      <c r="F16" s="46"/>
      <c r="G16" s="46"/>
      <c r="H16" s="46"/>
      <c r="I16" s="46"/>
    </row>
    <row r="17" spans="1:9">
      <c r="A17" s="45" t="s">
        <v>275</v>
      </c>
      <c r="B17" s="47" t="s">
        <v>330</v>
      </c>
      <c r="C17" s="46">
        <f>'1.Project Cost and MOF'!D8</f>
        <v>100000</v>
      </c>
      <c r="D17" s="46"/>
      <c r="E17" s="46"/>
      <c r="F17" s="46"/>
      <c r="G17" s="46"/>
      <c r="H17" s="46"/>
      <c r="I17" s="46"/>
    </row>
    <row r="18" spans="1:9">
      <c r="A18" s="45" t="s">
        <v>277</v>
      </c>
      <c r="B18" s="47" t="s">
        <v>332</v>
      </c>
      <c r="C18" s="46">
        <f>'1.Project Cost and MOF'!D9</f>
        <v>100000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350000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8903598.3248687517</v>
      </c>
      <c r="D22" s="73">
        <f>'6.Cons Profit &amp; Loss'!C23</f>
        <v>16762521.225347342</v>
      </c>
      <c r="E22" s="73">
        <f>'6.Cons Profit &amp; Loss'!D23</f>
        <v>20281738.408064432</v>
      </c>
      <c r="F22" s="73">
        <f>'6.Cons Profit &amp; Loss'!E23</f>
        <v>24110971.005989868</v>
      </c>
      <c r="G22" s="73">
        <f>'6.Cons Profit &amp; Loss'!F23</f>
        <v>28272422.517687693</v>
      </c>
      <c r="H22" s="73">
        <f>'6.Cons Profit &amp; Loss'!G23</f>
        <v>32789741.75304031</v>
      </c>
      <c r="I22" s="73">
        <f>'6.Cons Profit &amp; Loss'!H23</f>
        <v>37688111.855633989</v>
      </c>
    </row>
    <row r="23" spans="1:9">
      <c r="A23" s="45" t="s">
        <v>238</v>
      </c>
      <c r="B23" s="44" t="s">
        <v>310</v>
      </c>
      <c r="C23" s="41">
        <f>'6.Cons Profit &amp; Loss'!B34</f>
        <v>2762800</v>
      </c>
      <c r="D23" s="41">
        <f>'6.Cons Profit &amp; Loss'!C34</f>
        <v>2900940</v>
      </c>
      <c r="E23" s="41">
        <f>'6.Cons Profit &amp; Loss'!D34</f>
        <v>3045987</v>
      </c>
      <c r="F23" s="41">
        <f>'6.Cons Profit &amp; Loss'!E34</f>
        <v>3198286.3500000006</v>
      </c>
      <c r="G23" s="41">
        <f>'6.Cons Profit &amp; Loss'!F34</f>
        <v>3358200.6675000004</v>
      </c>
      <c r="H23" s="41">
        <f>'6.Cons Profit &amp; Loss'!G34</f>
        <v>3526110.7008750006</v>
      </c>
      <c r="I23" s="41">
        <f>'6.Cons Profit &amp; Loss'!H34</f>
        <v>3702416.235918751</v>
      </c>
    </row>
    <row r="24" spans="1:9">
      <c r="A24" s="48">
        <v>3</v>
      </c>
      <c r="B24" s="40" t="s">
        <v>511</v>
      </c>
      <c r="C24" s="41"/>
      <c r="D24" s="41"/>
      <c r="E24" s="41"/>
      <c r="F24" s="41"/>
      <c r="G24" s="41"/>
      <c r="H24" s="41"/>
      <c r="I24" s="41"/>
    </row>
    <row r="25" spans="1:9">
      <c r="A25" s="45"/>
      <c r="B25" s="44" t="s">
        <v>240</v>
      </c>
      <c r="C25" s="41">
        <f>SUM('4.TL repayment sch'!E10:E21)</f>
        <v>0</v>
      </c>
      <c r="D25" s="41">
        <f>SUM('4.TL repayment sch'!E22:E33)</f>
        <v>0</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241</v>
      </c>
      <c r="C26" s="41">
        <f>SUM('4.TL repayment sch'!D10:D21)</f>
        <v>0</v>
      </c>
      <c r="D26" s="41">
        <f>SUM('4.TL repayment sch'!D22:D33)</f>
        <v>0</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242</v>
      </c>
      <c r="C27" s="41">
        <f t="shared" ref="C27:I27" si="1">C11</f>
        <v>4545889.7058832198</v>
      </c>
      <c r="D27" s="41">
        <f t="shared" si="1"/>
        <v>7576024.5764022935</v>
      </c>
      <c r="E27" s="41">
        <f t="shared" si="1"/>
        <v>9111377.4790347889</v>
      </c>
      <c r="F27" s="41">
        <f t="shared" si="1"/>
        <v>10781325.610489525</v>
      </c>
      <c r="G27" s="41">
        <f t="shared" si="1"/>
        <v>12595490.111392155</v>
      </c>
      <c r="H27" s="41">
        <f t="shared" si="1"/>
        <v>14561600.151851969</v>
      </c>
      <c r="I27" s="41">
        <f t="shared" si="1"/>
        <v>16692832.471079292</v>
      </c>
    </row>
    <row r="28" spans="1:9">
      <c r="A28" s="45"/>
      <c r="B28" s="44" t="s">
        <v>243</v>
      </c>
      <c r="C28" s="49">
        <f>C27*12%</f>
        <v>545506.76470598637</v>
      </c>
      <c r="D28" s="49">
        <f t="shared" ref="D28:G28" si="2">D27*12%</f>
        <v>909122.94916827523</v>
      </c>
      <c r="E28" s="49">
        <f t="shared" si="2"/>
        <v>1093365.2974841746</v>
      </c>
      <c r="F28" s="49">
        <f t="shared" si="2"/>
        <v>1293759.0732587429</v>
      </c>
      <c r="G28" s="49">
        <f t="shared" si="2"/>
        <v>1511458.8133670585</v>
      </c>
      <c r="H28" s="49">
        <f t="shared" ref="H28:I28" si="3">H27*12%</f>
        <v>1747392.0182222363</v>
      </c>
      <c r="I28" s="49">
        <f t="shared" si="3"/>
        <v>2003139.896529515</v>
      </c>
    </row>
    <row r="29" spans="1:9">
      <c r="A29" s="40">
        <v>4</v>
      </c>
      <c r="B29" s="40" t="s">
        <v>244</v>
      </c>
      <c r="C29" s="41">
        <f>'6.Cons Profit &amp; Loss'!B48</f>
        <v>-346749.73154368473</v>
      </c>
      <c r="D29" s="41">
        <f>'6.Cons Profit &amp; Loss'!C48</f>
        <v>136179.00587984646</v>
      </c>
      <c r="E29" s="41">
        <f>'6.Cons Profit &amp; Loss'!D48</f>
        <v>362304.68235297373</v>
      </c>
      <c r="F29" s="41">
        <f>'6.Cons Profit &amp; Loss'!E48</f>
        <v>604939.96875871124</v>
      </c>
      <c r="G29" s="41">
        <f>'6.Cons Profit &amp; Loss'!F48</f>
        <v>866266.26342914137</v>
      </c>
      <c r="H29" s="41">
        <f>'6.Cons Profit &amp; Loss'!G48</f>
        <v>1158280.387545425</v>
      </c>
      <c r="I29" s="41">
        <f>'6.Cons Profit &amp; Loss'!H48</f>
        <v>1454856.9924631899</v>
      </c>
    </row>
    <row r="30" spans="1:9">
      <c r="A30" s="40"/>
      <c r="B30" s="40" t="s">
        <v>245</v>
      </c>
      <c r="C30" s="50">
        <f t="shared" ref="C30:I30" si="4">SUM(C15:C29)</f>
        <v>21961053.063914273</v>
      </c>
      <c r="D30" s="50">
        <f t="shared" si="4"/>
        <v>28284787.756797753</v>
      </c>
      <c r="E30" s="50">
        <f t="shared" si="4"/>
        <v>33894772.866936371</v>
      </c>
      <c r="F30" s="50">
        <f t="shared" si="4"/>
        <v>39989282.008496843</v>
      </c>
      <c r="G30" s="50">
        <f t="shared" si="4"/>
        <v>46603838.373376057</v>
      </c>
      <c r="H30" s="50">
        <f t="shared" si="4"/>
        <v>53783125.011534937</v>
      </c>
      <c r="I30" s="50">
        <f t="shared" si="4"/>
        <v>61541357.451624736</v>
      </c>
    </row>
    <row r="31" spans="1:9">
      <c r="A31" s="40"/>
      <c r="B31" s="40" t="s">
        <v>246</v>
      </c>
      <c r="C31" s="50">
        <f t="shared" ref="C31:I31" si="5">C12-C30</f>
        <v>2432285.8288988806</v>
      </c>
      <c r="D31" s="50">
        <f t="shared" si="5"/>
        <v>1055288.0376395434</v>
      </c>
      <c r="E31" s="50">
        <f t="shared" si="5"/>
        <v>1652852.4140589237</v>
      </c>
      <c r="F31" s="50">
        <f t="shared" si="5"/>
        <v>2313297.5182261392</v>
      </c>
      <c r="G31" s="50">
        <f t="shared" si="5"/>
        <v>3040321.7604449168</v>
      </c>
      <c r="H31" s="50">
        <f t="shared" si="5"/>
        <v>3797868.9872701541</v>
      </c>
      <c r="I31" s="50">
        <f t="shared" si="5"/>
        <v>4646043.3983283639</v>
      </c>
    </row>
    <row r="32" spans="1:9">
      <c r="A32" s="48"/>
      <c r="B32" s="44" t="s">
        <v>247</v>
      </c>
      <c r="C32" s="44"/>
      <c r="D32" s="51">
        <f t="shared" ref="D32:I32" si="6">C33</f>
        <v>2432285.8288988806</v>
      </c>
      <c r="E32" s="51">
        <f t="shared" si="6"/>
        <v>3487573.866538424</v>
      </c>
      <c r="F32" s="51">
        <f t="shared" si="6"/>
        <v>5140426.2805973478</v>
      </c>
      <c r="G32" s="51">
        <f t="shared" si="6"/>
        <v>7453723.798823487</v>
      </c>
      <c r="H32" s="51">
        <f t="shared" si="6"/>
        <v>10494045.559268404</v>
      </c>
      <c r="I32" s="51">
        <f t="shared" si="6"/>
        <v>14291914.546538558</v>
      </c>
    </row>
    <row r="33" spans="1:10">
      <c r="A33" s="40"/>
      <c r="B33" s="52" t="s">
        <v>248</v>
      </c>
      <c r="C33" s="50">
        <f t="shared" ref="C33:I33" si="7">C31+C32</f>
        <v>2432285.8288988806</v>
      </c>
      <c r="D33" s="50">
        <f t="shared" si="7"/>
        <v>3487573.866538424</v>
      </c>
      <c r="E33" s="50">
        <f t="shared" si="7"/>
        <v>5140426.2805973478</v>
      </c>
      <c r="F33" s="50">
        <f t="shared" si="7"/>
        <v>7453723.798823487</v>
      </c>
      <c r="G33" s="50">
        <f t="shared" si="7"/>
        <v>10494045.559268404</v>
      </c>
      <c r="H33" s="50">
        <f t="shared" si="7"/>
        <v>14291914.546538558</v>
      </c>
      <c r="I33" s="50">
        <f t="shared" si="7"/>
        <v>18937957.944866922</v>
      </c>
    </row>
    <row r="35" spans="1:10" ht="39.950000000000003" customHeight="1">
      <c r="A35" s="450" t="s">
        <v>410</v>
      </c>
      <c r="B35" s="450"/>
      <c r="C35" s="450"/>
      <c r="D35" s="450"/>
      <c r="E35" s="450"/>
      <c r="F35" s="450"/>
      <c r="G35" s="450"/>
      <c r="H35" s="450"/>
      <c r="I35" s="450"/>
      <c r="J35" s="450"/>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2022-05-21T11:12:49Z</dcterms:modified>
</cp:coreProperties>
</file>